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/>
  <mc:AlternateContent xmlns:mc="http://schemas.openxmlformats.org/markup-compatibility/2006">
    <mc:Choice Requires="x15">
      <x15ac:absPath xmlns:x15ac="http://schemas.microsoft.com/office/spreadsheetml/2010/11/ac" url="D:\Aspex\Стажировка кейс\"/>
    </mc:Choice>
  </mc:AlternateContent>
  <xr:revisionPtr revIDLastSave="0" documentId="8_{65556B7B-D351-406C-8C33-3C214A0D2A45}" xr6:coauthVersionLast="47" xr6:coauthVersionMax="47" xr10:uidLastSave="{00000000-0000-0000-0000-000000000000}"/>
  <bookViews>
    <workbookView xWindow="0" yWindow="0" windowWidth="28800" windowHeight="12180" firstSheet="1" activeTab="1" xr2:uid="{00000000-000D-0000-FFFF-FFFF00000000}"/>
  </bookViews>
  <sheets>
    <sheet name="факт" sheetId="3" r:id="rId1"/>
    <sheet name="план" sheetId="1" r:id="rId2"/>
    <sheet name="план-факт" sheetId="5" r:id="rId3"/>
    <sheet name="аналитика агентские (на 01.05)" sheetId="6" state="hidden" r:id="rId4"/>
    <sheet name="аналитика агентские (на 01.06)" sheetId="8" state="hidden" r:id="rId5"/>
    <sheet name="Выборка агентских май" sheetId="7" state="hidden" r:id="rId6"/>
    <sheet name="Выборка агентских июнь" sheetId="9" state="hidden" r:id="rId7"/>
    <sheet name="Выборка агентских август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план!$A$1:$A$59</definedName>
    <definedName name="_xlnm._FilterDatabase" localSheetId="2" hidden="1">'план-факт'!$A$1:$A$58</definedName>
    <definedName name="_xlnm._FilterDatabase" localSheetId="0" hidden="1">факт!$A$1:$A$59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I2" i="10"/>
  <c r="H16" i="10"/>
  <c r="H15" i="10"/>
  <c r="K2" i="10"/>
  <c r="I8" i="3"/>
  <c r="I7" i="10"/>
  <c r="I10" i="10"/>
  <c r="J10" i="10"/>
  <c r="M13" i="5"/>
  <c r="B4" i="5"/>
  <c r="I5" i="10"/>
  <c r="B7" i="5"/>
  <c r="G14" i="3"/>
  <c r="D3" i="10"/>
  <c r="D2" i="10"/>
  <c r="E2" i="10" s="1"/>
  <c r="D11" i="10"/>
  <c r="E11" i="10"/>
  <c r="F41" i="3"/>
  <c r="B5" i="1"/>
  <c r="B32" i="1"/>
  <c r="B2" i="3"/>
  <c r="F5" i="3"/>
  <c r="B4" i="6"/>
  <c r="I2" i="1" l="1"/>
  <c r="I9" i="3"/>
  <c r="I27" i="3"/>
  <c r="I21" i="3"/>
  <c r="I18" i="3"/>
  <c r="I36" i="3"/>
  <c r="H3" i="10"/>
  <c r="H18" i="10" s="1"/>
  <c r="D6" i="10"/>
  <c r="E6" i="10" s="1"/>
  <c r="D5" i="10"/>
  <c r="D10" i="10"/>
  <c r="D9" i="10"/>
  <c r="E9" i="10" s="1"/>
  <c r="K9" i="10"/>
  <c r="D8" i="10"/>
  <c r="K8" i="10"/>
  <c r="D7" i="10"/>
  <c r="K3" i="10"/>
  <c r="J43" i="3"/>
  <c r="K43" i="3"/>
  <c r="L43" i="3"/>
  <c r="M43" i="3"/>
  <c r="I44" i="3"/>
  <c r="J44" i="3"/>
  <c r="K44" i="3"/>
  <c r="L44" i="3"/>
  <c r="M44" i="3"/>
  <c r="H36" i="3"/>
  <c r="H9" i="3"/>
  <c r="H27" i="3"/>
  <c r="H18" i="3"/>
  <c r="F12" i="10"/>
  <c r="B12" i="10"/>
  <c r="K10" i="10"/>
  <c r="I9" i="10"/>
  <c r="J9" i="10"/>
  <c r="J8" i="10"/>
  <c r="I8" i="10"/>
  <c r="E8" i="10"/>
  <c r="K7" i="10"/>
  <c r="J7" i="10"/>
  <c r="K6" i="10"/>
  <c r="I6" i="10"/>
  <c r="J6" i="10"/>
  <c r="K5" i="10"/>
  <c r="J5" i="10"/>
  <c r="K4" i="10"/>
  <c r="J4" i="10"/>
  <c r="I4" i="10"/>
  <c r="E4" i="10"/>
  <c r="I3" i="10"/>
  <c r="J3" i="10"/>
  <c r="J2" i="10"/>
  <c r="G33" i="3"/>
  <c r="G9" i="3"/>
  <c r="G18" i="3"/>
  <c r="G27" i="3"/>
  <c r="G21" i="3"/>
  <c r="I4" i="9"/>
  <c r="I5" i="9"/>
  <c r="G17" i="3"/>
  <c r="I6" i="9"/>
  <c r="G20" i="3"/>
  <c r="I7" i="9"/>
  <c r="G26" i="3"/>
  <c r="I8" i="9"/>
  <c r="G29" i="3"/>
  <c r="I9" i="9"/>
  <c r="G32" i="3"/>
  <c r="I2" i="9"/>
  <c r="G5" i="3"/>
  <c r="K4" i="9"/>
  <c r="K6" i="9"/>
  <c r="K8" i="9"/>
  <c r="J4" i="9"/>
  <c r="J2" i="9"/>
  <c r="G3" i="9"/>
  <c r="I3" i="9"/>
  <c r="G8" i="3"/>
  <c r="H10" i="9"/>
  <c r="G10" i="9"/>
  <c r="I10" i="9"/>
  <c r="G35" i="3"/>
  <c r="H5" i="3"/>
  <c r="I5" i="3"/>
  <c r="H17" i="3"/>
  <c r="I17" i="3"/>
  <c r="H20" i="3"/>
  <c r="I20" i="3"/>
  <c r="H26" i="3"/>
  <c r="I26" i="3"/>
  <c r="H29" i="3"/>
  <c r="I29" i="3"/>
  <c r="H32" i="3"/>
  <c r="I32" i="3"/>
  <c r="H35" i="3"/>
  <c r="I35" i="3"/>
  <c r="H44" i="3"/>
  <c r="H14" i="3"/>
  <c r="I14" i="3"/>
  <c r="H8" i="3"/>
  <c r="H43" i="3"/>
  <c r="E10" i="10"/>
  <c r="E3" i="10"/>
  <c r="C12" i="10"/>
  <c r="E7" i="10"/>
  <c r="D10" i="9"/>
  <c r="D9" i="9"/>
  <c r="K9" i="9"/>
  <c r="D2" i="9"/>
  <c r="K2" i="9"/>
  <c r="D7" i="9"/>
  <c r="K7" i="9"/>
  <c r="D3" i="9"/>
  <c r="K3" i="9"/>
  <c r="D5" i="9"/>
  <c r="K5" i="9"/>
  <c r="E11" i="9"/>
  <c r="C5" i="9"/>
  <c r="J5" i="9"/>
  <c r="C8" i="9"/>
  <c r="J8" i="9"/>
  <c r="C7" i="9"/>
  <c r="J7" i="9"/>
  <c r="C6" i="9"/>
  <c r="C3" i="9"/>
  <c r="J3" i="9"/>
  <c r="C10" i="9"/>
  <c r="J10" i="9"/>
  <c r="C9" i="9"/>
  <c r="J9" i="9"/>
  <c r="F12" i="9"/>
  <c r="E4" i="9"/>
  <c r="E3" i="9"/>
  <c r="B12" i="9"/>
  <c r="E5" i="9"/>
  <c r="E7" i="9"/>
  <c r="E8" i="9"/>
  <c r="E6" i="9"/>
  <c r="J6" i="9"/>
  <c r="E10" i="9"/>
  <c r="K10" i="9"/>
  <c r="E9" i="9"/>
  <c r="D12" i="9"/>
  <c r="C12" i="9"/>
  <c r="E2" i="9"/>
  <c r="E12" i="9"/>
  <c r="L8" i="8"/>
  <c r="M8" i="8"/>
  <c r="C4" i="8"/>
  <c r="L7" i="8"/>
  <c r="M7" i="8"/>
  <c r="C3" i="8"/>
  <c r="I10" i="8"/>
  <c r="E10" i="8"/>
  <c r="B10" i="8"/>
  <c r="G10" i="8"/>
  <c r="H10" i="8"/>
  <c r="O10" i="8"/>
  <c r="F9" i="3"/>
  <c r="F18" i="3"/>
  <c r="F27" i="3"/>
  <c r="B6" i="8"/>
  <c r="G6" i="8"/>
  <c r="H6" i="8"/>
  <c r="B5" i="8"/>
  <c r="G5" i="8"/>
  <c r="H5" i="8"/>
  <c r="B4" i="8"/>
  <c r="G4" i="8"/>
  <c r="H4" i="8"/>
  <c r="E7" i="8"/>
  <c r="E8" i="8"/>
  <c r="E9" i="8"/>
  <c r="I9" i="8"/>
  <c r="B9" i="8"/>
  <c r="G9" i="8"/>
  <c r="H9" i="8"/>
  <c r="B2" i="8"/>
  <c r="G2" i="8"/>
  <c r="I8" i="8"/>
  <c r="B8" i="8"/>
  <c r="G8" i="8"/>
  <c r="H8" i="8"/>
  <c r="B3" i="8"/>
  <c r="G3" i="8"/>
  <c r="H3" i="8"/>
  <c r="I7" i="8"/>
  <c r="B7" i="8"/>
  <c r="G7" i="8"/>
  <c r="H7" i="8"/>
  <c r="O8" i="8"/>
  <c r="O7" i="8"/>
  <c r="O9" i="8"/>
  <c r="M6" i="8"/>
  <c r="L6" i="8"/>
  <c r="I6" i="8"/>
  <c r="E6" i="8"/>
  <c r="M5" i="8"/>
  <c r="L5" i="8"/>
  <c r="I5" i="8"/>
  <c r="E5" i="8"/>
  <c r="M4" i="8"/>
  <c r="L4" i="8"/>
  <c r="I4" i="8"/>
  <c r="E4" i="8"/>
  <c r="M3" i="8"/>
  <c r="L3" i="8"/>
  <c r="I3" i="8"/>
  <c r="E3" i="8"/>
  <c r="M2" i="8"/>
  <c r="L2" i="8"/>
  <c r="I2" i="8"/>
  <c r="E2" i="8"/>
  <c r="H2" i="8"/>
  <c r="E3" i="6"/>
  <c r="M34" i="5"/>
  <c r="M31" i="5"/>
  <c r="M28" i="5"/>
  <c r="M25" i="5"/>
  <c r="M19" i="5"/>
  <c r="M16" i="5"/>
  <c r="N7" i="5"/>
  <c r="M4" i="5"/>
  <c r="O6" i="8"/>
  <c r="O5" i="8"/>
  <c r="O4" i="8"/>
  <c r="O2" i="8"/>
  <c r="O3" i="8"/>
  <c r="F32" i="3"/>
  <c r="F26" i="3"/>
  <c r="F17" i="3"/>
  <c r="F14" i="3"/>
  <c r="F8" i="3"/>
  <c r="F10" i="7"/>
  <c r="F35" i="3"/>
  <c r="F8" i="7"/>
  <c r="F29" i="3"/>
  <c r="F6" i="7"/>
  <c r="F20" i="3"/>
  <c r="D8" i="7"/>
  <c r="D7" i="7"/>
  <c r="D6" i="7"/>
  <c r="D5" i="7"/>
  <c r="D4" i="7"/>
  <c r="D3" i="7"/>
  <c r="D2" i="7"/>
  <c r="F11" i="7"/>
  <c r="E3" i="7"/>
  <c r="E4" i="7"/>
  <c r="E6" i="7"/>
  <c r="E8" i="7"/>
  <c r="B10" i="7"/>
  <c r="B9" i="7"/>
  <c r="B2" i="7"/>
  <c r="E2" i="7"/>
  <c r="B11" i="7"/>
  <c r="N3" i="6"/>
  <c r="N4" i="6"/>
  <c r="N5" i="6"/>
  <c r="N6" i="6"/>
  <c r="N2" i="6"/>
  <c r="I6" i="6"/>
  <c r="E4" i="6"/>
  <c r="E5" i="6"/>
  <c r="E6" i="6"/>
  <c r="E2" i="6"/>
  <c r="M2" i="6"/>
  <c r="L2" i="6"/>
  <c r="I3" i="6"/>
  <c r="I4" i="6"/>
  <c r="I5" i="6"/>
  <c r="I2" i="6"/>
  <c r="M3" i="6"/>
  <c r="M4" i="6"/>
  <c r="M5" i="6"/>
  <c r="M6" i="6"/>
  <c r="B6" i="6"/>
  <c r="G6" i="6"/>
  <c r="H6" i="6"/>
  <c r="B5" i="6"/>
  <c r="G5" i="6"/>
  <c r="G4" i="6"/>
  <c r="B2" i="6"/>
  <c r="G2" i="6"/>
  <c r="H2" i="6"/>
  <c r="B3" i="6"/>
  <c r="G3" i="6"/>
  <c r="H3" i="6"/>
  <c r="C5" i="7"/>
  <c r="E5" i="7"/>
  <c r="H4" i="6"/>
  <c r="C9" i="7"/>
  <c r="H5" i="6"/>
  <c r="E43" i="5"/>
  <c r="G5" i="5"/>
  <c r="G6" i="5"/>
  <c r="G7" i="5"/>
  <c r="G9" i="5"/>
  <c r="G10" i="5"/>
  <c r="G11" i="5"/>
  <c r="G12" i="5"/>
  <c r="G13" i="5"/>
  <c r="G15" i="5"/>
  <c r="G16" i="5"/>
  <c r="G18" i="5"/>
  <c r="G19" i="5"/>
  <c r="G21" i="5"/>
  <c r="G22" i="5"/>
  <c r="G23" i="5"/>
  <c r="G24" i="5"/>
  <c r="G25" i="5"/>
  <c r="G27" i="5"/>
  <c r="G28" i="5"/>
  <c r="G29" i="5"/>
  <c r="G30" i="5"/>
  <c r="G31" i="5"/>
  <c r="G32" i="5"/>
  <c r="G33" i="5"/>
  <c r="G34" i="5"/>
  <c r="G35" i="5"/>
  <c r="G4" i="5"/>
  <c r="C10" i="7"/>
  <c r="C7" i="7"/>
  <c r="G17" i="5"/>
  <c r="C11" i="7"/>
  <c r="E7" i="7"/>
  <c r="E9" i="3"/>
  <c r="F8" i="5"/>
  <c r="E27" i="3"/>
  <c r="F26" i="5"/>
  <c r="G26" i="5"/>
  <c r="E21" i="3"/>
  <c r="F20" i="5"/>
  <c r="G20" i="5"/>
  <c r="E15" i="3"/>
  <c r="F14" i="5"/>
  <c r="G14" i="5"/>
  <c r="E18" i="3"/>
  <c r="G8" i="5"/>
  <c r="F43" i="5"/>
  <c r="D9" i="3"/>
  <c r="D27" i="3"/>
  <c r="D36" i="3"/>
  <c r="E25" i="5"/>
  <c r="E7" i="5"/>
  <c r="E4" i="5"/>
  <c r="E34" i="5"/>
  <c r="E19" i="5"/>
  <c r="E13" i="5"/>
  <c r="C9" i="3"/>
  <c r="C27" i="3"/>
  <c r="C18" i="3"/>
  <c r="C15" i="3"/>
  <c r="C26" i="3"/>
  <c r="C2" i="3"/>
  <c r="D2" i="3"/>
  <c r="E2" i="3"/>
  <c r="F2" i="3"/>
  <c r="G2" i="3"/>
  <c r="H2" i="3"/>
  <c r="I2" i="3"/>
  <c r="J2" i="3"/>
  <c r="K2" i="3"/>
  <c r="L2" i="3"/>
  <c r="M2" i="3"/>
  <c r="C2" i="1"/>
  <c r="D2" i="1"/>
  <c r="E2" i="1"/>
  <c r="F2" i="1"/>
  <c r="G2" i="1"/>
  <c r="H2" i="1"/>
  <c r="K2" i="1"/>
  <c r="L2" i="1"/>
  <c r="M2" i="1"/>
  <c r="B2" i="1"/>
  <c r="C23" i="5"/>
  <c r="C37" i="5"/>
  <c r="C35" i="5"/>
  <c r="C25" i="5"/>
  <c r="C14" i="5"/>
  <c r="C13" i="5"/>
  <c r="C11" i="5"/>
  <c r="C34" i="5"/>
  <c r="C22" i="5"/>
  <c r="C10" i="5"/>
  <c r="C32" i="5"/>
  <c r="C20" i="5"/>
  <c r="C8" i="5"/>
  <c r="C31" i="5"/>
  <c r="C19" i="5"/>
  <c r="C7" i="5"/>
  <c r="P7" i="5" s="1"/>
  <c r="C29" i="5"/>
  <c r="C17" i="5"/>
  <c r="C5" i="5"/>
  <c r="C4" i="5"/>
  <c r="O4" i="5" s="1"/>
  <c r="C28" i="5"/>
  <c r="C16" i="5"/>
  <c r="C38" i="5"/>
  <c r="C26" i="5"/>
  <c r="K5" i="1"/>
  <c r="L5" i="1"/>
  <c r="M5" i="1"/>
  <c r="B6" i="1"/>
  <c r="C6" i="1"/>
  <c r="D6" i="1"/>
  <c r="E6" i="1"/>
  <c r="F6" i="1"/>
  <c r="G6" i="1"/>
  <c r="H6" i="1"/>
  <c r="I6" i="1"/>
  <c r="J6" i="1"/>
  <c r="K6" i="1"/>
  <c r="L6" i="1"/>
  <c r="M6" i="1"/>
  <c r="I9" i="1"/>
  <c r="J9" i="1"/>
  <c r="K9" i="1"/>
  <c r="L9" i="1"/>
  <c r="M9" i="1"/>
  <c r="B11" i="1"/>
  <c r="B12" i="1"/>
  <c r="C12" i="1"/>
  <c r="D12" i="1"/>
  <c r="E12" i="1"/>
  <c r="F12" i="1"/>
  <c r="G12" i="1"/>
  <c r="H12" i="1"/>
  <c r="B24" i="1"/>
  <c r="B27" i="1"/>
  <c r="B30" i="1"/>
  <c r="F32" i="1"/>
  <c r="G32" i="1"/>
  <c r="H32" i="1"/>
  <c r="I32" i="1"/>
  <c r="J32" i="1"/>
  <c r="K32" i="1"/>
  <c r="L32" i="1"/>
  <c r="M32" i="1"/>
  <c r="B33" i="1"/>
  <c r="C33" i="1"/>
  <c r="D33" i="1"/>
  <c r="E33" i="1"/>
  <c r="F33" i="1"/>
  <c r="G33" i="1"/>
  <c r="H33" i="1"/>
  <c r="I33" i="1"/>
  <c r="J33" i="1"/>
  <c r="K33" i="1"/>
  <c r="L33" i="1"/>
  <c r="M33" i="1"/>
  <c r="B38" i="1"/>
  <c r="B39" i="1"/>
  <c r="C39" i="1"/>
  <c r="D39" i="1"/>
  <c r="E39" i="1"/>
  <c r="F39" i="1"/>
  <c r="G39" i="1"/>
  <c r="H39" i="1"/>
  <c r="I39" i="1"/>
  <c r="J39" i="1"/>
  <c r="K39" i="1"/>
  <c r="L39" i="1"/>
  <c r="M39" i="1"/>
  <c r="B38" i="5"/>
  <c r="D38" i="5"/>
  <c r="J3" i="6"/>
  <c r="O3" i="6"/>
  <c r="J3" i="8"/>
  <c r="N3" i="8"/>
  <c r="J9" i="8"/>
  <c r="J2" i="6"/>
  <c r="O2" i="6"/>
  <c r="J2" i="8"/>
  <c r="N2" i="8"/>
  <c r="J6" i="6"/>
  <c r="O6" i="6"/>
  <c r="J6" i="8"/>
  <c r="N6" i="8"/>
  <c r="J7" i="8"/>
  <c r="J10" i="8"/>
  <c r="J4" i="6"/>
  <c r="O4" i="6"/>
  <c r="J4" i="8"/>
  <c r="N4" i="8"/>
  <c r="J8" i="8"/>
  <c r="J5" i="6"/>
  <c r="O5" i="6"/>
  <c r="J5" i="8"/>
  <c r="N5" i="8"/>
  <c r="C42" i="5"/>
  <c r="B32" i="5"/>
  <c r="D32" i="5"/>
  <c r="B5" i="5"/>
  <c r="D5" i="5"/>
  <c r="C27" i="1"/>
  <c r="C38" i="1"/>
  <c r="C30" i="1"/>
  <c r="C36" i="1"/>
  <c r="B36" i="1"/>
  <c r="D30" i="1"/>
  <c r="D36" i="1"/>
  <c r="D27" i="1"/>
  <c r="E38" i="1"/>
  <c r="D38" i="1"/>
  <c r="E30" i="1"/>
  <c r="E36" i="1"/>
  <c r="F27" i="1"/>
  <c r="E27" i="1"/>
  <c r="F38" i="1"/>
  <c r="F36" i="1"/>
  <c r="G38" i="1"/>
  <c r="G30" i="1"/>
  <c r="F30" i="1"/>
  <c r="G27" i="1"/>
  <c r="H27" i="1"/>
  <c r="H30" i="1"/>
  <c r="G36" i="1"/>
  <c r="H38" i="1"/>
  <c r="I38" i="1"/>
  <c r="B37" i="5"/>
  <c r="D37" i="5"/>
  <c r="I30" i="1"/>
  <c r="B29" i="5"/>
  <c r="D29" i="5"/>
  <c r="H36" i="1"/>
  <c r="I27" i="1"/>
  <c r="B26" i="5"/>
  <c r="D26" i="5"/>
  <c r="I36" i="1"/>
  <c r="B35" i="5"/>
  <c r="D35" i="5"/>
  <c r="K27" i="1"/>
  <c r="J27" i="1"/>
  <c r="J38" i="1"/>
  <c r="J30" i="1"/>
  <c r="M27" i="1"/>
  <c r="L27" i="1"/>
  <c r="K30" i="1"/>
  <c r="K38" i="1"/>
  <c r="J36" i="1"/>
  <c r="K36" i="1"/>
  <c r="M30" i="1"/>
  <c r="L30" i="1"/>
  <c r="M38" i="1"/>
  <c r="L38" i="1"/>
  <c r="M36" i="1"/>
  <c r="L36" i="1"/>
  <c r="C11" i="1"/>
  <c r="B23" i="1"/>
  <c r="B9" i="1"/>
  <c r="F23" i="1"/>
  <c r="H23" i="1"/>
  <c r="E23" i="1"/>
  <c r="G23" i="1"/>
  <c r="D23" i="1"/>
  <c r="C23" i="1"/>
  <c r="I23" i="1"/>
  <c r="B22" i="5"/>
  <c r="D22" i="5"/>
  <c r="J23" i="1"/>
  <c r="L23" i="1"/>
  <c r="K23" i="1"/>
  <c r="M23" i="1"/>
  <c r="I12" i="1"/>
  <c r="B11" i="5"/>
  <c r="D11" i="5"/>
  <c r="D11" i="1"/>
  <c r="J12" i="1"/>
  <c r="E11" i="1"/>
  <c r="D9" i="1"/>
  <c r="C9" i="1"/>
  <c r="E9" i="1"/>
  <c r="F11" i="1"/>
  <c r="L12" i="1"/>
  <c r="K12" i="1"/>
  <c r="G11" i="1"/>
  <c r="F9" i="1"/>
  <c r="M12" i="1"/>
  <c r="G9" i="1"/>
  <c r="H11" i="1"/>
  <c r="H9" i="1"/>
  <c r="B8" i="5"/>
  <c r="D8" i="5"/>
  <c r="I11" i="1"/>
  <c r="B10" i="5"/>
  <c r="D10" i="5"/>
  <c r="J11" i="1"/>
  <c r="K11" i="1"/>
  <c r="L11" i="1"/>
  <c r="M11" i="1"/>
  <c r="C32" i="1"/>
  <c r="D32" i="1"/>
  <c r="E32" i="1"/>
  <c r="B31" i="5"/>
  <c r="D31" i="5"/>
  <c r="B20" i="1"/>
  <c r="B17" i="1"/>
  <c r="B29" i="1"/>
  <c r="B26" i="1"/>
  <c r="B35" i="1"/>
  <c r="C35" i="1"/>
  <c r="C29" i="1"/>
  <c r="C26" i="1"/>
  <c r="D35" i="1"/>
  <c r="D26" i="1"/>
  <c r="D29" i="1"/>
  <c r="E29" i="1"/>
  <c r="F35" i="1"/>
  <c r="E35" i="1"/>
  <c r="E26" i="1"/>
  <c r="G29" i="1"/>
  <c r="H35" i="1"/>
  <c r="G35" i="1"/>
  <c r="F26" i="1"/>
  <c r="F29" i="1"/>
  <c r="G26" i="1"/>
  <c r="I35" i="1"/>
  <c r="B34" i="5"/>
  <c r="H29" i="1"/>
  <c r="J35" i="1"/>
  <c r="D34" i="5"/>
  <c r="J29" i="1"/>
  <c r="I29" i="1"/>
  <c r="B28" i="5"/>
  <c r="H26" i="1"/>
  <c r="K35" i="1"/>
  <c r="O28" i="5"/>
  <c r="D28" i="5"/>
  <c r="H28" i="5"/>
  <c r="I26" i="1"/>
  <c r="K29" i="1"/>
  <c r="B25" i="5"/>
  <c r="L35" i="1"/>
  <c r="M35" i="1"/>
  <c r="M29" i="1"/>
  <c r="L29" i="1"/>
  <c r="J26" i="1"/>
  <c r="D25" i="5"/>
  <c r="H25" i="5"/>
  <c r="O25" i="5"/>
  <c r="K26" i="1"/>
  <c r="M26" i="1"/>
  <c r="L26" i="1"/>
  <c r="B14" i="1"/>
  <c r="C5" i="1"/>
  <c r="D5" i="1"/>
  <c r="E5" i="1"/>
  <c r="F5" i="1"/>
  <c r="H5" i="1"/>
  <c r="G5" i="1"/>
  <c r="I5" i="1"/>
  <c r="J5" i="1"/>
  <c r="B8" i="1"/>
  <c r="C20" i="1"/>
  <c r="C17" i="1"/>
  <c r="C14" i="1"/>
  <c r="C8" i="1"/>
  <c r="E20" i="1"/>
  <c r="D20" i="1"/>
  <c r="D17" i="1"/>
  <c r="E14" i="1"/>
  <c r="D14" i="1"/>
  <c r="F20" i="1"/>
  <c r="E17" i="1"/>
  <c r="F14" i="1"/>
  <c r="G20" i="1"/>
  <c r="G14" i="1"/>
  <c r="G17" i="1"/>
  <c r="F17" i="1"/>
  <c r="H17" i="1"/>
  <c r="H14" i="1"/>
  <c r="H20" i="1"/>
  <c r="J14" i="1"/>
  <c r="I14" i="1"/>
  <c r="B13" i="5"/>
  <c r="J20" i="1"/>
  <c r="I20" i="1"/>
  <c r="B19" i="5"/>
  <c r="I17" i="1"/>
  <c r="B16" i="5"/>
  <c r="K14" i="1"/>
  <c r="O16" i="5"/>
  <c r="D16" i="5"/>
  <c r="H16" i="5"/>
  <c r="K20" i="1"/>
  <c r="D13" i="5"/>
  <c r="H13" i="5"/>
  <c r="O13" i="5"/>
  <c r="O19" i="5"/>
  <c r="D19" i="5"/>
  <c r="H19" i="5"/>
  <c r="J17" i="1"/>
  <c r="L14" i="1"/>
  <c r="M20" i="1"/>
  <c r="L20" i="1"/>
  <c r="K17" i="1"/>
  <c r="M14" i="1"/>
  <c r="M17" i="1"/>
  <c r="L17" i="1"/>
  <c r="D8" i="1"/>
  <c r="E8" i="1"/>
  <c r="G8" i="1"/>
  <c r="F8" i="1"/>
  <c r="I8" i="1"/>
  <c r="H8" i="1"/>
  <c r="J8" i="1"/>
  <c r="D7" i="5"/>
  <c r="K8" i="1"/>
  <c r="H7" i="5"/>
  <c r="L8" i="1"/>
  <c r="M8" i="1"/>
  <c r="B15" i="1"/>
  <c r="B18" i="1"/>
  <c r="B21" i="1"/>
  <c r="C24" i="1"/>
  <c r="C21" i="1"/>
  <c r="C18" i="1"/>
  <c r="C15" i="1"/>
  <c r="D24" i="1"/>
  <c r="D18" i="1"/>
  <c r="E15" i="1"/>
  <c r="D15" i="1"/>
  <c r="D21" i="1"/>
  <c r="E24" i="1"/>
  <c r="F24" i="1"/>
  <c r="E18" i="1"/>
  <c r="E21" i="1"/>
  <c r="G15" i="1"/>
  <c r="G24" i="1"/>
  <c r="F15" i="1"/>
  <c r="G21" i="1"/>
  <c r="F18" i="1"/>
  <c r="F21" i="1"/>
  <c r="H15" i="1"/>
  <c r="I15" i="1"/>
  <c r="B14" i="5"/>
  <c r="H24" i="1"/>
  <c r="H18" i="1"/>
  <c r="H21" i="1"/>
  <c r="G18" i="1"/>
  <c r="I24" i="1"/>
  <c r="I18" i="1"/>
  <c r="B17" i="5"/>
  <c r="D17" i="5"/>
  <c r="D14" i="5"/>
  <c r="I21" i="1"/>
  <c r="B20" i="5"/>
  <c r="D20" i="5"/>
  <c r="J24" i="1"/>
  <c r="J15" i="1"/>
  <c r="J21" i="1"/>
  <c r="K18" i="1"/>
  <c r="J18" i="1"/>
  <c r="K21" i="1"/>
  <c r="K24" i="1"/>
  <c r="L15" i="1"/>
  <c r="K15" i="1"/>
  <c r="M15" i="1"/>
  <c r="M18" i="1"/>
  <c r="L18" i="1"/>
  <c r="L21" i="1"/>
  <c r="L24" i="1"/>
  <c r="M24" i="1"/>
  <c r="B23" i="5"/>
  <c r="D23" i="5"/>
  <c r="B43" i="5"/>
  <c r="M21" i="1"/>
  <c r="D9" i="7"/>
  <c r="D10" i="7"/>
  <c r="E10" i="7"/>
  <c r="H34" i="5"/>
  <c r="D11" i="7"/>
  <c r="E9" i="7"/>
  <c r="E11" i="7"/>
  <c r="H31" i="5"/>
  <c r="D43" i="5" l="1"/>
  <c r="O31" i="5"/>
  <c r="O34" i="5"/>
  <c r="C43" i="5"/>
  <c r="K43" i="5" s="1"/>
  <c r="O21" i="5"/>
  <c r="E5" i="10"/>
  <c r="E12" i="10" s="1"/>
  <c r="D12" i="10"/>
  <c r="I43" i="3"/>
  <c r="D4" i="5"/>
  <c r="B42" i="5"/>
  <c r="E42" i="5" l="1"/>
  <c r="K42" i="5"/>
  <c r="H4" i="5"/>
  <c r="D42" i="5"/>
</calcChain>
</file>

<file path=xl/sharedStrings.xml><?xml version="1.0" encoding="utf-8"?>
<sst xmlns="http://schemas.openxmlformats.org/spreadsheetml/2006/main" count="248" uniqueCount="76">
  <si>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</si>
  <si>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</si>
  <si>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</si>
  <si>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</si>
  <si>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</si>
  <si>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</si>
  <si>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</si>
  <si>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</si>
  <si>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</si>
  <si>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</si>
  <si>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</si>
  <si>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</si>
  <si>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Объект 1</t>
  </si>
  <si>
    <t>на агентские</t>
  </si>
  <si>
    <t>на рекламу</t>
  </si>
  <si>
    <t>Объект 2</t>
  </si>
  <si>
    <t>Объект 3</t>
  </si>
  <si>
    <t>Объект 4</t>
  </si>
  <si>
    <t>Объект 5</t>
  </si>
  <si>
    <t>Объект 6</t>
  </si>
  <si>
    <t>Объект 7</t>
  </si>
  <si>
    <t>Объект 8</t>
  </si>
  <si>
    <t>Объект 9</t>
  </si>
  <si>
    <t>Объект 10</t>
  </si>
  <si>
    <t>Объект 11</t>
  </si>
  <si>
    <t>Объект 12</t>
  </si>
  <si>
    <t>итого</t>
  </si>
  <si>
    <t>аг</t>
  </si>
  <si>
    <t>рекл</t>
  </si>
  <si>
    <t>План</t>
  </si>
  <si>
    <t xml:space="preserve">Факт </t>
  </si>
  <si>
    <t>план-факт 8 мес</t>
  </si>
  <si>
    <t>в расчет агентского входят квартиры, проданные напрямую, без участия АН</t>
  </si>
  <si>
    <t>ПФ апр</t>
  </si>
  <si>
    <t>месяц</t>
  </si>
  <si>
    <t>сможемвыбрать</t>
  </si>
  <si>
    <t xml:space="preserve">план продаж перевыполнен в </t>
  </si>
  <si>
    <t xml:space="preserve">план продаж выполнен в </t>
  </si>
  <si>
    <t xml:space="preserve"> </t>
  </si>
  <si>
    <t>план продаж выполнен на</t>
  </si>
  <si>
    <t>в целом</t>
  </si>
  <si>
    <t>план продаж выполнен</t>
  </si>
  <si>
    <t xml:space="preserve">план продаж выполнен на </t>
  </si>
  <si>
    <t>Итого</t>
  </si>
  <si>
    <t>агентские</t>
  </si>
  <si>
    <t>реклама</t>
  </si>
  <si>
    <t>Проект</t>
  </si>
  <si>
    <t>Выручка дек-март</t>
  </si>
  <si>
    <t>из нее БАЗА начислений агентских за дек.21-март.22</t>
  </si>
  <si>
    <t>Начислены агентские дек.21-март.22</t>
  </si>
  <si>
    <t>Начислены компенсации агентских застройщиков</t>
  </si>
  <si>
    <t>Итого начислено</t>
  </si>
  <si>
    <t>Оплачено</t>
  </si>
  <si>
    <t>Из них за янв-ноя.21</t>
  </si>
  <si>
    <t>ДЗ</t>
  </si>
  <si>
    <t>Проверка 1</t>
  </si>
  <si>
    <t>Проверка 2</t>
  </si>
  <si>
    <t>Проверка 3</t>
  </si>
  <si>
    <t>Окла 1 оч</t>
  </si>
  <si>
    <t>Окла 2 оч</t>
  </si>
  <si>
    <t>Выручка дек-апр</t>
  </si>
  <si>
    <t>из нее БАЗА начислений агентских  за дек.21-апр.22</t>
  </si>
  <si>
    <t>Начислены агентские  дек.21-апр.22</t>
  </si>
  <si>
    <t>Долги</t>
  </si>
  <si>
    <t>Доначислить компенсации за прошлые периоды и выбрать</t>
  </si>
  <si>
    <t>От продаж апреля</t>
  </si>
  <si>
    <t>факт</t>
  </si>
  <si>
    <t>От продаж мая</t>
  </si>
  <si>
    <t>факт агентские</t>
  </si>
  <si>
    <t>факт компенсации</t>
  </si>
  <si>
    <t>Агентские июнь</t>
  </si>
  <si>
    <t>От продаж июля</t>
  </si>
  <si>
    <t>оплата с АО</t>
  </si>
  <si>
    <t>из них Я16</t>
  </si>
  <si>
    <t>расхождение</t>
  </si>
  <si>
    <t>МЕНЬШЕ ВЫБРАНО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</si>
</sst>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/>
    <xf numFmtId="0" fontId="0" fillId="3" borderId="1" xfId="0" applyFill="1" applyBorder="1" applyAlignment="1">
      <alignment horizontal="right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vertical="distributed"/>
    </xf>
    <xf numFmtId="164" fontId="0" fillId="0" borderId="0" xfId="0" applyNumberFormat="1" applyAlignment="1">
      <alignment wrapText="1"/>
    </xf>
    <xf numFmtId="164" fontId="3" fillId="0" borderId="0" xfId="0" applyNumberFormat="1" applyFont="1" applyAlignment="1">
      <alignment wrapText="1"/>
    </xf>
    <xf numFmtId="164" fontId="0" fillId="4" borderId="0" xfId="0" applyNumberFormat="1" applyFill="1"/>
    <xf numFmtId="164" fontId="0" fillId="4" borderId="1" xfId="0" applyNumberFormat="1" applyFill="1" applyBorder="1"/>
    <xf numFmtId="164" fontId="1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3" fontId="0" fillId="0" borderId="0" xfId="0" applyNumberFormat="1"/>
    <xf numFmtId="164" fontId="0" fillId="4" borderId="0" xfId="0" applyNumberFormat="1" applyFill="1" applyAlignment="1">
      <alignment wrapText="1"/>
    </xf>
    <xf numFmtId="164" fontId="0" fillId="3" borderId="1" xfId="0" applyNumberFormat="1" applyFill="1" applyBorder="1"/>
    <xf numFmtId="164" fontId="0" fillId="6" borderId="1" xfId="0" applyNumberFormat="1" applyFill="1" applyBorder="1"/>
    <xf numFmtId="164" fontId="0" fillId="4" borderId="1" xfId="0" applyNumberFormat="1" applyFill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0" fillId="3" borderId="1" xfId="0" applyFill="1" applyBorder="1"/>
    <xf numFmtId="164" fontId="0" fillId="6" borderId="1" xfId="0" applyNumberFormat="1" applyFill="1" applyBorder="1" applyAlignment="1">
      <alignment wrapText="1"/>
    </xf>
    <xf numFmtId="164" fontId="0" fillId="5" borderId="1" xfId="0" applyNumberFormat="1" applyFill="1" applyBorder="1" applyAlignment="1">
      <alignment wrapText="1"/>
    </xf>
    <xf numFmtId="3" fontId="0" fillId="0" borderId="1" xfId="0" applyNumberFormat="1" applyBorder="1"/>
    <xf numFmtId="0" fontId="0" fillId="7" borderId="1" xfId="0" applyFill="1" applyBorder="1"/>
    <xf numFmtId="0" fontId="0" fillId="7" borderId="1" xfId="0" applyFill="1" applyBorder="1" applyAlignment="1">
      <alignment vertical="distributed"/>
    </xf>
    <xf numFmtId="10" fontId="0" fillId="7" borderId="1" xfId="0" applyNumberFormat="1" applyFill="1" applyBorder="1"/>
    <xf numFmtId="3" fontId="0" fillId="7" borderId="1" xfId="0" applyNumberFormat="1" applyFill="1" applyBorder="1"/>
    <xf numFmtId="0" fontId="5" fillId="0" borderId="0" xfId="0" applyFont="1"/>
    <xf numFmtId="3" fontId="5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0" fillId="3" borderId="1" xfId="0" applyFill="1" applyBorder="1" applyAlignment="1">
      <alignment vertical="distributed"/>
    </xf>
    <xf numFmtId="0" fontId="0" fillId="3" borderId="0" xfId="0" applyFill="1"/>
    <xf numFmtId="3" fontId="0" fillId="3" borderId="0" xfId="0" applyNumberFormat="1" applyFill="1"/>
    <xf numFmtId="0" fontId="3" fillId="7" borderId="1" xfId="0" applyFont="1" applyFill="1" applyBorder="1"/>
    <xf numFmtId="3" fontId="0" fillId="4" borderId="1" xfId="0" applyNumberFormat="1" applyFill="1" applyBorder="1"/>
    <xf numFmtId="0" fontId="0" fillId="4" borderId="1" xfId="0" applyFill="1" applyBorder="1"/>
    <xf numFmtId="10" fontId="0" fillId="0" borderId="1" xfId="0" applyNumberFormat="1" applyBorder="1"/>
    <xf numFmtId="10" fontId="0" fillId="6" borderId="1" xfId="0" applyNumberFormat="1" applyFill="1" applyBorder="1"/>
    <xf numFmtId="0" fontId="3" fillId="0" borderId="0" xfId="0" applyFont="1"/>
    <xf numFmtId="165" fontId="0" fillId="0" borderId="0" xfId="0" applyNumberFormat="1"/>
    <xf numFmtId="164" fontId="3" fillId="3" borderId="1" xfId="0" applyNumberFormat="1" applyFont="1" applyFill="1" applyBorder="1"/>
    <xf numFmtId="0" fontId="0" fillId="8" borderId="0" xfId="0" applyFill="1"/>
    <xf numFmtId="164" fontId="6" fillId="3" borderId="1" xfId="0" applyNumberFormat="1" applyFont="1" applyFill="1" applyBorder="1"/>
    <xf numFmtId="164" fontId="0" fillId="5" borderId="1" xfId="0" applyNumberFormat="1" applyFill="1" applyBorder="1"/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a\&#1051;&#1077;&#1088;&#1072;\&#1055;&#1083;&#1072;&#1085;&#1080;&#1088;&#1086;&#1074;&#1072;&#1085;&#1080;&#1077;\&#1060;&#1080;&#1085;%20&#1087;&#1083;&#1072;&#1085;%202022\&#1086;&#1073;&#1085;&#1086;&#1074;&#1083;&#1077;&#1085;&#1085;&#1099;&#1081;%20&#1092;&#1080;&#1085;&#1087;&#1083;&#1072;&#1085;%20&#1089;%20&#1092;&#1072;&#1082;&#1090;&#1086;&#1084;%20&#1076;&#1077;&#1082;&#1072;&#1073;&#1088;&#1103;\&#1060;&#1080;&#1085;&#1087;&#1083;&#1072;&#1085;%202022%20(&#1089;%20&#1092;&#1072;&#1082;&#1090;&#1086;&#1084;%20&#1076;&#1077;&#1082;&#1072;&#1073;&#1088;&#1103;)%20&#1080;&#1089;&#1087;&#1088;&#1072;&#1074;&#1083;&#1077;&#1085;&#1099;%20&#1085;&#1072;&#1083;&#1086;&#1075;&#1080;%20&#8212;%20&#1080;&#1089;&#1087;&#1088;%2014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kulaev\AppData\Local\Packages\Microsoft.Office.Desktop_8wekyb3d8bbwe\AC\INetCache\Content.Outlook\PVACGXXV\&#1050;&#1086;&#1087;&#1080;&#1103;%20&#1082;&#1086;&#1085;&#1090;&#1088;&#1086;&#1083;&#1100;%20&#1074;&#1099;&#1073;&#1086;&#1088;&#1082;&#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a\&#1051;&#1077;&#1088;&#1072;\&#1055;&#1083;&#1072;&#1085;&#1080;&#1088;&#1086;&#1074;&#1072;&#1085;&#1080;&#1077;\&#1060;&#1080;&#1085;%20&#1087;&#1083;&#1072;&#1085;%202022\&#1054;&#1087;&#1077;&#1088;&#1072;&#1090;&#1080;&#1074;&#1085;&#1072;&#1103;%20&#1086;&#1090;&#1095;&#1077;&#1090;&#1085;&#1086;&#1089;&#1090;&#1100;\04_2022\&#1044;&#1083;&#1103;%20&#1089;&#1086;&#1074;&#1077;&#1097;&#1072;&#1085;&#1080;&#1103;%20&#1079;&#1072;&#1087;&#1086;&#1083;&#1085;&#1077;&#1085;&#1086;%20&#1072;&#1087;&#1088;&#1077;&#1083;&#1100;%202022%20(&#1085;&#1072;&#1087;&#1088;&#1072;&#1074;&#1083;&#1077;&#1085;&#1086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a\&#1051;&#1077;&#1088;&#1072;\&#1055;&#1083;&#1072;&#1085;&#1080;&#1088;&#1086;&#1074;&#1072;&#1085;&#1080;&#1077;\&#1060;&#1080;&#1085;%20&#1087;&#1083;&#1072;&#1085;%202022\&#1060;&#1080;&#1085;&#1087;&#1083;&#1072;&#1085;%20&#1074;&#1093;&#1086;&#1076;&#1099;%20&#1085;&#1072;%2001.01.2022%20(&#1092;&#1072;&#1082;&#1090;%20&#1076;&#1077;&#1082;&#1072;&#1073;&#1088;&#1103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a\&#1051;&#1077;&#1088;&#1072;\&#1055;&#1083;&#1072;&#1085;&#1080;&#1088;&#1086;&#1074;&#1072;&#1085;&#1080;&#1077;\&#1060;&#1080;&#1085;%20&#1087;&#1083;&#1072;&#1085;%202022\&#1054;&#1087;&#1077;&#1088;&#1072;&#1090;&#1080;&#1074;&#1085;&#1072;&#1103;%20&#1086;&#1090;&#1095;&#1077;&#1090;&#1085;&#1086;&#1089;&#1090;&#1100;\03_2022\&#1044;&#1083;&#1103;%20&#1089;&#1086;&#1074;&#1077;&#1097;&#1072;&#1085;&#1080;&#1103;%20&#1079;&#1072;&#1087;&#1086;&#1083;&#1085;&#1077;&#1085;&#1086;%20%20&#1084;&#1072;&#1088;&#1090;%202022%20&#8212;%20&#1085;&#1072;&#1087;&#1088;&#1072;&#1074;&#1083;&#1077;&#1085;&#108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a\&#1051;&#1077;&#1088;&#1072;\&#1055;&#1083;&#1072;&#1085;&#1080;&#1088;&#1086;&#1074;&#1072;&#1085;&#1080;&#1077;\&#1060;&#1080;&#1085;%20&#1087;&#1083;&#1072;&#1085;%202022\&#1054;&#1087;&#1077;&#1088;&#1072;&#1090;&#1080;&#1074;&#1085;&#1072;&#1103;%20&#1086;&#1090;&#1095;&#1077;&#1090;&#1085;&#1086;&#1089;&#1090;&#1100;\&#1060;&#1080;&#1085;&#1087;&#1083;&#1072;&#1085;%202022%20&#1086;&#1087;&#1077;&#1088;&#1072;&#1090;&#1080;&#1074;&#1085;&#1099;&#1081;%20&#1086;&#1090;&#1095;&#1077;&#109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a\&#1051;&#1077;&#1088;&#1072;\&#1055;&#1083;&#1072;&#1085;&#1080;&#1088;&#1086;&#1074;&#1072;&#1085;&#1080;&#1077;\&#1060;&#1080;&#1085;%20&#1087;&#1083;&#1072;&#1085;%202022\&#1054;&#1087;&#1077;&#1088;&#1072;&#1090;&#1080;&#1074;&#1085;&#1072;&#1103;%20&#1086;&#1090;&#1095;&#1077;&#1090;&#1085;&#1086;&#1089;&#1090;&#1100;\&#1044;&#1083;&#1103;%20&#1089;&#1074;&#1077;&#1088;&#1082;&#1080;\&#1042;&#1093;&#1086;&#1076;&#1099;%20&#1053;&#1086;&#1074;&#1086;&#1086;&#1088;&#1083;&#1086;&#1074;&#1089;&#1082;&#1080;&#108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a\&#1051;&#1077;&#1088;&#1072;\&#1055;&#1083;&#1072;&#1085;&#1080;&#1088;&#1086;&#1074;&#1072;&#1085;&#1080;&#1077;\&#1060;&#1080;&#1085;%20&#1087;&#1083;&#1072;&#1085;%202022\&#1054;&#1087;&#1077;&#1088;&#1072;&#1090;&#1080;&#1074;&#1085;&#1072;&#1103;%20&#1086;&#1090;&#1095;&#1077;&#1090;&#1085;&#1086;&#1089;&#1090;&#1100;\05_2022\&#1040;&#1075;&#1077;&#1085;&#1090;&#1089;&#1082;&#1080;&#1077;%20&#1082;&#1086;&#1085;&#1090;&#1088;&#1086;&#1083;&#1100;%20&#1074;&#1099;&#1073;&#1086;&#1088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одель с МН и ПД (к)"/>
      <sheetName val="входы по земле"/>
      <sheetName val="Расчет маржинального дохода"/>
      <sheetName val="Накладные"/>
      <sheetName val="Кредиты 2022"/>
      <sheetName val="Маржинальность"/>
      <sheetName val="Финрезультат свод"/>
      <sheetName val="Модель с МН и ПД(Ч) "/>
      <sheetName val="Баланс"/>
      <sheetName val="Расчет маржинального дохода (ч)"/>
      <sheetName val="ФР 2016"/>
      <sheetName val="Красота (2)"/>
      <sheetName val="Накладные план"/>
      <sheetName val="Красота"/>
      <sheetName val="Расчет долга по социалке"/>
      <sheetName val="Стимул"/>
      <sheetName val="Лист1"/>
      <sheetName val="Раскладка НУК"/>
      <sheetName val="акции"/>
      <sheetName val="План-факт 1 пг"/>
    </sheetNames>
    <sheetDataSet>
      <sheetData sheetId="0"/>
      <sheetData sheetId="1"/>
      <sheetData sheetId="2"/>
      <sheetData sheetId="3"/>
      <sheetData sheetId="4">
        <row r="201">
          <cell r="C201">
            <v>-2046.3092914999966</v>
          </cell>
          <cell r="D201">
            <v>-1655.7781467297214</v>
          </cell>
          <cell r="E201">
            <v>-1671.9927292692075</v>
          </cell>
          <cell r="F201">
            <v>-1886.3554839710437</v>
          </cell>
          <cell r="G201">
            <v>-1625.197436419875</v>
          </cell>
          <cell r="H201">
            <v>-1252.3676254978172</v>
          </cell>
          <cell r="I201">
            <v>-1478.8512429570703</v>
          </cell>
          <cell r="J201">
            <v>-1724.7446675607448</v>
          </cell>
          <cell r="K201">
            <v>-1212.0941397060719</v>
          </cell>
        </row>
        <row r="209">
          <cell r="C209">
            <v>-4982.2980903105308</v>
          </cell>
          <cell r="D209">
            <v>-4922.5155897785708</v>
          </cell>
          <cell r="E209">
            <v>-5375.1977856387966</v>
          </cell>
          <cell r="F209">
            <v>-7063.7914473048413</v>
          </cell>
          <cell r="G209">
            <v>-7184.9687529905559</v>
          </cell>
          <cell r="H209">
            <v>-5606.9895744016849</v>
          </cell>
          <cell r="I209">
            <v>-5633.4773961557567</v>
          </cell>
          <cell r="J209">
            <v>-5547.0645444170441</v>
          </cell>
          <cell r="K209">
            <v>-3946.9758213111782</v>
          </cell>
          <cell r="L209">
            <v>-4198.0372493755585</v>
          </cell>
          <cell r="M209">
            <v>-3597.8054350271814</v>
          </cell>
          <cell r="N209">
            <v>-804.9294936259339</v>
          </cell>
        </row>
        <row r="210">
          <cell r="C210">
            <v>-2000</v>
          </cell>
          <cell r="D210">
            <v>-2000</v>
          </cell>
          <cell r="E210">
            <v>-2000</v>
          </cell>
          <cell r="F210">
            <v>-2000</v>
          </cell>
          <cell r="G210">
            <v>-2000</v>
          </cell>
          <cell r="H210">
            <v>-2000</v>
          </cell>
          <cell r="I210">
            <v>-2000</v>
          </cell>
        </row>
        <row r="217">
          <cell r="C217">
            <v>0</v>
          </cell>
          <cell r="D217">
            <v>-4.4999999999999999E-4</v>
          </cell>
          <cell r="E217">
            <v>-4.4999999999999999E-4</v>
          </cell>
          <cell r="F217">
            <v>-4.4999999999999999E-4</v>
          </cell>
          <cell r="G217">
            <v>-4.4999999999999999E-4</v>
          </cell>
          <cell r="H217">
            <v>-4.4999999999999999E-4</v>
          </cell>
          <cell r="I217">
            <v>-4.4999999999999999E-4</v>
          </cell>
          <cell r="J217">
            <v>-4.4999999999999999E-4</v>
          </cell>
          <cell r="K217">
            <v>-2702.5671899899312</v>
          </cell>
          <cell r="L217">
            <v>-3335.6369457171445</v>
          </cell>
          <cell r="M217">
            <v>-3656.4894588146326</v>
          </cell>
          <cell r="N217">
            <v>-3980.3715679260963</v>
          </cell>
        </row>
        <row r="218">
          <cell r="J218">
            <v>-2000</v>
          </cell>
          <cell r="K218">
            <v>-2000</v>
          </cell>
          <cell r="L218">
            <v>-2000</v>
          </cell>
          <cell r="M218">
            <v>-2000</v>
          </cell>
          <cell r="N218">
            <v>-2000</v>
          </cell>
        </row>
        <row r="233">
          <cell r="C233">
            <v>-2067.0273500000003</v>
          </cell>
          <cell r="D233">
            <v>-2256.7551675187919</v>
          </cell>
          <cell r="E233">
            <v>-1384.4886776181352</v>
          </cell>
          <cell r="F233">
            <v>-1891.7226855028996</v>
          </cell>
          <cell r="G233">
            <v>-971.24898665404294</v>
          </cell>
          <cell r="H233">
            <v>-1037.8173410708914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C234">
            <v>-1412.0739049525355</v>
          </cell>
          <cell r="D234">
            <v>-2089.1194177049251</v>
          </cell>
          <cell r="E234">
            <v>-1123.1405463434633</v>
          </cell>
          <cell r="F234">
            <v>-1546.7012414083065</v>
          </cell>
          <cell r="G234">
            <v>-713.99582108004665</v>
          </cell>
          <cell r="H234">
            <v>-1314.5252459241763</v>
          </cell>
          <cell r="I234">
            <v>-1415.8033737710732</v>
          </cell>
          <cell r="J234">
            <v>-768.49244681560231</v>
          </cell>
          <cell r="K234">
            <v>-1163.835098312436</v>
          </cell>
          <cell r="L234">
            <v>-1161.6691857242838</v>
          </cell>
          <cell r="M234">
            <v>-688.07005640601426</v>
          </cell>
          <cell r="N234">
            <v>-961.6660529839329</v>
          </cell>
        </row>
        <row r="241">
          <cell r="C241">
            <v>-943.43370000000004</v>
          </cell>
          <cell r="D241">
            <v>-2461.8385216876131</v>
          </cell>
          <cell r="E241">
            <v>-5844.4985222116229</v>
          </cell>
          <cell r="F241">
            <v>-5929.5064557188916</v>
          </cell>
          <cell r="G241">
            <v>-5250.7320267913019</v>
          </cell>
          <cell r="H241">
            <v>-5210.874414347637</v>
          </cell>
          <cell r="I241">
            <v>-5261.5020432416713</v>
          </cell>
          <cell r="J241">
            <v>-12514.846643843945</v>
          </cell>
          <cell r="K241">
            <v>-16182.344070514635</v>
          </cell>
          <cell r="L241">
            <v>-18055.68991440667</v>
          </cell>
          <cell r="M241">
            <v>-16353.86429387494</v>
          </cell>
          <cell r="N241">
            <v>0</v>
          </cell>
        </row>
        <row r="242">
          <cell r="C242">
            <v>-567.43179697350411</v>
          </cell>
          <cell r="D242">
            <v>-1223.4520460870192</v>
          </cell>
          <cell r="E242">
            <v>-2763.501713515865</v>
          </cell>
          <cell r="F242">
            <v>-2662.7458041898294</v>
          </cell>
          <cell r="G242">
            <v>-2219.2482050734288</v>
          </cell>
          <cell r="H242">
            <v>-3142.9378009610759</v>
          </cell>
          <cell r="I242">
            <v>-2436.702913948975</v>
          </cell>
          <cell r="J242">
            <v>-5591.6428033224793</v>
          </cell>
          <cell r="K242">
            <v>-6692.8592864562988</v>
          </cell>
          <cell r="L242">
            <v>-7398.4819349407526</v>
          </cell>
          <cell r="M242">
            <v>-6392.8897031752822</v>
          </cell>
          <cell r="N242">
            <v>-6010.4128311495806</v>
          </cell>
        </row>
        <row r="249">
          <cell r="C249">
            <v>-6656.7059940000008</v>
          </cell>
          <cell r="D249">
            <v>-7851.1809696261716</v>
          </cell>
          <cell r="E249">
            <v>-10454.623724718178</v>
          </cell>
          <cell r="F249">
            <v>-10237.104724348896</v>
          </cell>
          <cell r="G249">
            <v>-11110.081513140023</v>
          </cell>
          <cell r="H249">
            <v>-3914.1201693151993</v>
          </cell>
          <cell r="I249">
            <v>-14497.745154848431</v>
          </cell>
          <cell r="J249">
            <v>-8291.1394250677313</v>
          </cell>
          <cell r="K249">
            <v>-4422.8856167591566</v>
          </cell>
          <cell r="L249">
            <v>-3196.742212097528</v>
          </cell>
          <cell r="M249">
            <v>-5421.5405144159877</v>
          </cell>
          <cell r="N249">
            <v>-6434.8824157835897</v>
          </cell>
        </row>
        <row r="250">
          <cell r="C250">
            <v>-4547.315293994513</v>
          </cell>
          <cell r="D250">
            <v>-4191.6557607024424</v>
          </cell>
          <cell r="E250">
            <v>-5562.7100241822154</v>
          </cell>
          <cell r="F250">
            <v>-5922.1062746429752</v>
          </cell>
          <cell r="G250">
            <v>-5946.343543990135</v>
          </cell>
          <cell r="H250">
            <v>-2214.832660743547</v>
          </cell>
          <cell r="I250">
            <v>-8959.8858253375856</v>
          </cell>
          <cell r="J250">
            <v>-4678.2941580467595</v>
          </cell>
          <cell r="K250">
            <v>-2336.4840074599097</v>
          </cell>
          <cell r="L250">
            <v>-1748.4463355676032</v>
          </cell>
          <cell r="M250">
            <v>-2737.5196464458509</v>
          </cell>
          <cell r="N250">
            <v>-2906.851762632688</v>
          </cell>
        </row>
        <row r="259"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-4428.2949263690371</v>
          </cell>
          <cell r="L259">
            <v>-5322.2419186399075</v>
          </cell>
          <cell r="M259">
            <v>-4511.2209515864033</v>
          </cell>
          <cell r="N259">
            <v>-4553.2755768890856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-2531.4321720278404</v>
          </cell>
          <cell r="L260">
            <v>-3196.279207817352</v>
          </cell>
          <cell r="M260">
            <v>-2415.2222664681804</v>
          </cell>
          <cell r="N260">
            <v>-2374.1386690477652</v>
          </cell>
        </row>
        <row r="267">
          <cell r="C267">
            <v>-3762.8212000000003</v>
          </cell>
          <cell r="D267">
            <v>-2260.4081930156367</v>
          </cell>
          <cell r="E267">
            <v>-3579.3013154270056</v>
          </cell>
          <cell r="F267">
            <v>-4335.8871494872528</v>
          </cell>
          <cell r="G267">
            <v>-4268.9392382510368</v>
          </cell>
          <cell r="H267">
            <v>-3718.197997257108</v>
          </cell>
          <cell r="I267">
            <v>-4114.0038362422365</v>
          </cell>
          <cell r="J267">
            <v>-3345.7452949809021</v>
          </cell>
          <cell r="K267">
            <v>-3811.5045485274081</v>
          </cell>
          <cell r="L267">
            <v>-4549.5490749713545</v>
          </cell>
          <cell r="M267">
            <v>-4674.5525875491485</v>
          </cell>
          <cell r="N267">
            <v>-4907.7071403485234</v>
          </cell>
        </row>
        <row r="268">
          <cell r="C268">
            <v>-1000</v>
          </cell>
          <cell r="D268">
            <v>-1000</v>
          </cell>
          <cell r="E268">
            <v>-1000</v>
          </cell>
          <cell r="F268">
            <v>-1000</v>
          </cell>
          <cell r="G268">
            <v>-1000</v>
          </cell>
          <cell r="H268">
            <v>-1000</v>
          </cell>
          <cell r="I268">
            <v>-1000</v>
          </cell>
          <cell r="J268">
            <v>-1000</v>
          </cell>
          <cell r="K268">
            <v>-1000</v>
          </cell>
          <cell r="L268">
            <v>-1000</v>
          </cell>
          <cell r="M268">
            <v>-1000</v>
          </cell>
          <cell r="N268">
            <v>-1000</v>
          </cell>
        </row>
        <row r="275">
          <cell r="C275">
            <v>-1565.576</v>
          </cell>
          <cell r="D275">
            <v>-883.74207158053946</v>
          </cell>
          <cell r="E275">
            <v>-1224.4975910635662</v>
          </cell>
          <cell r="F275">
            <v>-1945.9372278700685</v>
          </cell>
          <cell r="G275">
            <v>-2206.9665360542749</v>
          </cell>
          <cell r="H275">
            <v>-1892.2701793581612</v>
          </cell>
          <cell r="I275">
            <v>-1483.6391270084944</v>
          </cell>
          <cell r="J275">
            <v>-1917.8648798196964</v>
          </cell>
          <cell r="K275">
            <v>-1992.4880696697373</v>
          </cell>
          <cell r="L275">
            <v>-1994.7710706727223</v>
          </cell>
          <cell r="M275">
            <v>-2011.7150874539286</v>
          </cell>
          <cell r="N275">
            <v>-2028.8134317462529</v>
          </cell>
        </row>
        <row r="276">
          <cell r="C276">
            <v>-1000</v>
          </cell>
          <cell r="D276">
            <v>-1000</v>
          </cell>
          <cell r="E276">
            <v>-1000</v>
          </cell>
          <cell r="F276">
            <v>-1000</v>
          </cell>
          <cell r="G276">
            <v>-1000</v>
          </cell>
          <cell r="H276">
            <v>-1000</v>
          </cell>
          <cell r="I276">
            <v>-1000</v>
          </cell>
          <cell r="J276">
            <v>-1000</v>
          </cell>
          <cell r="K276">
            <v>-1000</v>
          </cell>
          <cell r="L276">
            <v>-1000</v>
          </cell>
          <cell r="M276">
            <v>-1000</v>
          </cell>
          <cell r="N276">
            <v>-1000</v>
          </cell>
        </row>
        <row r="283">
          <cell r="C283">
            <v>-4524.2519500000008</v>
          </cell>
          <cell r="D283">
            <v>-5745.8632662914679</v>
          </cell>
          <cell r="E283">
            <v>-5436.9516101737954</v>
          </cell>
          <cell r="F283">
            <v>-6442.6372214926068</v>
          </cell>
        </row>
        <row r="290">
          <cell r="C290">
            <v>-13578.778149999998</v>
          </cell>
          <cell r="D290">
            <v>-12281.942092721183</v>
          </cell>
          <cell r="E290">
            <v>-13436.246624952211</v>
          </cell>
          <cell r="F290">
            <v>-13616.752858609223</v>
          </cell>
          <cell r="G290">
            <v>-14703.691222725067</v>
          </cell>
          <cell r="H290">
            <v>-11730.069291653755</v>
          </cell>
          <cell r="I290">
            <v>-11674.969053015811</v>
          </cell>
          <cell r="J290">
            <v>-12105.62365760606</v>
          </cell>
          <cell r="K290">
            <v>-12952.473880701824</v>
          </cell>
          <cell r="L290">
            <v>-15640.907143885172</v>
          </cell>
          <cell r="M290">
            <v>-15653.340193632757</v>
          </cell>
          <cell r="N290">
            <v>-16764.961768775833</v>
          </cell>
        </row>
        <row r="291">
          <cell r="C291">
            <v>-2500</v>
          </cell>
          <cell r="D291">
            <v>-2500</v>
          </cell>
          <cell r="E291">
            <v>-2500</v>
          </cell>
          <cell r="F291">
            <v>-2500</v>
          </cell>
          <cell r="G291">
            <v>-2500</v>
          </cell>
          <cell r="H291">
            <v>-2500</v>
          </cell>
          <cell r="I291">
            <v>-2500</v>
          </cell>
          <cell r="J291">
            <v>-2500</v>
          </cell>
          <cell r="K291">
            <v>-2500</v>
          </cell>
          <cell r="L291">
            <v>-2500</v>
          </cell>
          <cell r="M291">
            <v>-2500</v>
          </cell>
          <cell r="N291">
            <v>-2500</v>
          </cell>
        </row>
        <row r="297"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-1723.2717274159081</v>
          </cell>
          <cell r="I297">
            <v>-3463.1473603468689</v>
          </cell>
          <cell r="J297">
            <v>-4371.4309318031492</v>
          </cell>
          <cell r="K297">
            <v>-4392.4927834612035</v>
          </cell>
          <cell r="L297">
            <v>-4413.6572450522372</v>
          </cell>
          <cell r="M297">
            <v>-4456.9891252591897</v>
          </cell>
          <cell r="N297">
            <v>-4500.7475804921514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факт"/>
      <sheetName val="план-факт"/>
    </sheetNames>
    <sheetDataSet>
      <sheetData sheetId="0" refreshError="1"/>
      <sheetData sheetId="1" refreshError="1"/>
      <sheetData sheetId="2">
        <row r="4">
          <cell r="D4">
            <v>4358.5445643374605</v>
          </cell>
        </row>
        <row r="5">
          <cell r="D5">
            <v>0</v>
          </cell>
        </row>
        <row r="6">
          <cell r="D6">
            <v>0</v>
          </cell>
        </row>
        <row r="7">
          <cell r="D7">
            <v>6398.1832043360118</v>
          </cell>
        </row>
        <row r="8">
          <cell r="D8">
            <v>1441</v>
          </cell>
        </row>
        <row r="9">
          <cell r="D9">
            <v>0</v>
          </cell>
        </row>
        <row r="10">
          <cell r="D10">
            <v>1.3500000000000001E-3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2987.94</v>
          </cell>
        </row>
        <row r="15">
          <cell r="D15">
            <v>0</v>
          </cell>
        </row>
        <row r="16">
          <cell r="D16">
            <v>12942.821797536028</v>
          </cell>
        </row>
        <row r="17">
          <cell r="D17">
            <v>6867.0000000000018</v>
          </cell>
        </row>
        <row r="18">
          <cell r="D18">
            <v>0</v>
          </cell>
        </row>
        <row r="19">
          <cell r="D19">
            <v>3925.8269357119607</v>
          </cell>
        </row>
        <row r="20">
          <cell r="D20">
            <v>6867.0000000000018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4524.3513550014113</v>
          </cell>
        </row>
        <row r="27">
          <cell r="D27">
            <v>0</v>
          </cell>
        </row>
        <row r="28">
          <cell r="D28">
            <v>288.55517716233487</v>
          </cell>
        </row>
        <row r="29">
          <cell r="D29">
            <v>2800</v>
          </cell>
        </row>
        <row r="30">
          <cell r="D30">
            <v>0</v>
          </cell>
        </row>
        <row r="31">
          <cell r="D31">
            <v>23224.352160000002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14552.973899999999</v>
          </cell>
        </row>
        <row r="35">
          <cell r="D35">
            <v>6016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копительно"/>
      <sheetName val="март"/>
      <sheetName val="По типам квартир"/>
      <sheetName val="расшифровка март"/>
      <sheetName val="По типам квартир (2)"/>
      <sheetName val="Отставания по объектам"/>
    </sheetNames>
    <sheetDataSet>
      <sheetData sheetId="0">
        <row r="6">
          <cell r="C6">
            <v>130084.3103458774</v>
          </cell>
          <cell r="D6">
            <v>191337.61555330141</v>
          </cell>
        </row>
        <row r="7">
          <cell r="C7">
            <v>216517.50584899363</v>
          </cell>
          <cell r="D7">
            <v>320988.20987448533</v>
          </cell>
        </row>
        <row r="8">
          <cell r="C8">
            <v>440588.78813148069</v>
          </cell>
          <cell r="D8">
            <v>158519.4762336674</v>
          </cell>
        </row>
        <row r="10">
          <cell r="C10">
            <v>136786.47592779694</v>
          </cell>
          <cell r="D10">
            <v>172059.20029428558</v>
          </cell>
        </row>
        <row r="11">
          <cell r="C11">
            <v>125222.86853136898</v>
          </cell>
          <cell r="D11">
            <v>47594.152045762392</v>
          </cell>
        </row>
        <row r="12">
          <cell r="C12">
            <v>288890.71792361862</v>
          </cell>
          <cell r="D12">
            <v>287577.70991669019</v>
          </cell>
        </row>
        <row r="15">
          <cell r="C15">
            <v>198105.03902951907</v>
          </cell>
          <cell r="D15">
            <v>139867.90996988307</v>
          </cell>
        </row>
        <row r="16">
          <cell r="C16">
            <v>292824.4324847362</v>
          </cell>
          <cell r="D16">
            <v>310911.95690134144</v>
          </cell>
        </row>
        <row r="17">
          <cell r="C17">
            <v>476467.82420872105</v>
          </cell>
          <cell r="D17">
            <v>921996.54903289455</v>
          </cell>
        </row>
        <row r="18">
          <cell r="C18">
            <v>1080772.6559801537</v>
          </cell>
          <cell r="D18">
            <v>704823.89476828673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одель с МН и ПД (к)"/>
      <sheetName val="Расчет маржинального дохода2021"/>
      <sheetName val="Накладные"/>
      <sheetName val="Кредиты 2021"/>
      <sheetName val="Маржинальность"/>
      <sheetName val="Финрезультат свод"/>
      <sheetName val="Модель с МН и ПД(Ч) "/>
      <sheetName val="Баланс"/>
      <sheetName val="Расчет маржинального дохода (ч)"/>
      <sheetName val="ФР 2016"/>
      <sheetName val="Красота (2)"/>
      <sheetName val="Накладные план"/>
      <sheetName val="Расчет маржинального дохода2022"/>
      <sheetName val="Красота"/>
      <sheetName val="Расчет долга по социалке"/>
      <sheetName val="Стимул"/>
      <sheetName val="Лист1"/>
      <sheetName val="Раскладка НУК"/>
      <sheetName val="акции"/>
      <sheetName val="План-факт 1 пг"/>
    </sheetNames>
    <sheetDataSet>
      <sheetData sheetId="0" refreshError="1"/>
      <sheetData sheetId="1" refreshError="1">
        <row r="3">
          <cell r="B3">
            <v>3422143.7331899996</v>
          </cell>
        </row>
        <row r="75">
          <cell r="N75">
            <v>41340.547000000006</v>
          </cell>
        </row>
        <row r="88">
          <cell r="N88">
            <v>18868.673999999999</v>
          </cell>
        </row>
        <row r="101">
          <cell r="N101">
            <v>133134.11988000001</v>
          </cell>
        </row>
        <row r="174">
          <cell r="N174">
            <v>75256.423999999999</v>
          </cell>
        </row>
        <row r="187">
          <cell r="N187">
            <v>31311.52</v>
          </cell>
        </row>
        <row r="200">
          <cell r="N200">
            <v>40926.185829999929</v>
          </cell>
        </row>
        <row r="251">
          <cell r="N251">
            <v>99645.961806210616</v>
          </cell>
        </row>
        <row r="581">
          <cell r="N581">
            <v>90485.039000000004</v>
          </cell>
        </row>
        <row r="594">
          <cell r="N594">
            <v>271575.56299999997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копительно значения"/>
      <sheetName val="По типам квартир"/>
      <sheetName val="По типам квартир (2)"/>
      <sheetName val="Отставания по объектам"/>
    </sheetNames>
    <sheetDataSet>
      <sheetData sheetId="0" refreshError="1">
        <row r="5">
          <cell r="F5">
            <v>0</v>
          </cell>
        </row>
        <row r="8">
          <cell r="D8">
            <v>226019.34125155938</v>
          </cell>
        </row>
        <row r="12">
          <cell r="D12">
            <v>152426.3768958911</v>
          </cell>
        </row>
        <row r="14">
          <cell r="D14">
            <v>212383.22991669018</v>
          </cell>
        </row>
        <row r="20">
          <cell r="D20">
            <v>640897.41700000002</v>
          </cell>
        </row>
        <row r="21">
          <cell r="D21">
            <v>573253.72965999995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одель с МН и ПД (к)"/>
      <sheetName val="распр выноса лэп окла"/>
      <sheetName val="Расчет маржинального дохода"/>
      <sheetName val="пояснения РасчетМД"/>
      <sheetName val="Кредиты 2022"/>
      <sheetName val="Маржинальность"/>
      <sheetName val="Накладные"/>
      <sheetName val="Финрезультат свод"/>
      <sheetName val="Модель с МН и ПД(Ч) "/>
      <sheetName val="Баланс"/>
      <sheetName val="Расчет маржинального дохода (ч)"/>
      <sheetName val="ФР 2016"/>
      <sheetName val="Красота (2)"/>
      <sheetName val="Накладные план"/>
      <sheetName val="Красота"/>
      <sheetName val="Расчет долга по социалке"/>
      <sheetName val="Стимул"/>
      <sheetName val="Лист1"/>
      <sheetName val="Раскладка НУК"/>
      <sheetName val="акции"/>
      <sheetName val="План-факт 1 пг"/>
    </sheetNames>
    <sheetDataSet>
      <sheetData sheetId="0"/>
      <sheetData sheetId="1"/>
      <sheetData sheetId="2">
        <row r="75">
          <cell r="F75">
            <v>36956.611389671263</v>
          </cell>
        </row>
        <row r="88">
          <cell r="F88">
            <v>94968.868622925962</v>
          </cell>
        </row>
        <row r="101">
          <cell r="F101">
            <v>13936.331624599366</v>
          </cell>
        </row>
        <row r="187">
          <cell r="F187">
            <v>75194.48</v>
          </cell>
        </row>
        <row r="200">
          <cell r="F200">
            <v>4773.6400930568107</v>
          </cell>
        </row>
        <row r="213">
          <cell r="F213">
            <v>19632.823398394474</v>
          </cell>
        </row>
        <row r="264">
          <cell r="F264">
            <v>36360.543008397508</v>
          </cell>
        </row>
        <row r="618">
          <cell r="F618">
            <v>290846.03958289477</v>
          </cell>
        </row>
        <row r="631">
          <cell r="F631">
            <v>214861.42105828683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выгрузка договоров OLAP"/>
      <sheetName val="Лист1"/>
      <sheetName val="008 наша 1С"/>
      <sheetName val="Продажи Ойкумена"/>
      <sheetName val="008.86"/>
      <sheetName val="договоры вошедшие в наш выручку"/>
      <sheetName val="211"/>
      <sheetName val="231"/>
      <sheetName val="311"/>
      <sheetName val="322"/>
      <sheetName val="312"/>
      <sheetName val="П212+212"/>
      <sheetName val="711"/>
      <sheetName val="выгрузка Ойкумена за 2021 г"/>
    </sheetNames>
    <sheetDataSet>
      <sheetData sheetId="0">
        <row r="5">
          <cell r="AW5">
            <v>93038163.500000238</v>
          </cell>
        </row>
        <row r="6">
          <cell r="AW6">
            <v>9746907.5500001907</v>
          </cell>
        </row>
        <row r="10">
          <cell r="AW10">
            <v>83291255.950000048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факт"/>
      <sheetName val="план-факт"/>
      <sheetName val="аналитика агентские (на 01.05)"/>
      <sheetName val="аналитика агентские (на 01.06)"/>
      <sheetName val="Выборка агентских май"/>
      <sheetName val="перевыставленные "/>
      <sheetName val="Перевыставленные системно"/>
      <sheetName val="Перевыстав системно выст-опл"/>
      <sheetName val="оплаты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6">
          <cell r="P46">
            <v>431.25738000000001</v>
          </cell>
          <cell r="S46">
            <v>4606.8838399999995</v>
          </cell>
          <cell r="Y46">
            <v>273.64999999999998</v>
          </cell>
          <cell r="AB46">
            <v>480</v>
          </cell>
          <cell r="AE46">
            <v>512.6</v>
          </cell>
          <cell r="AH46">
            <v>7218.4803599999996</v>
          </cell>
          <cell r="AK46">
            <v>5292.2334699999992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opLeftCell="N1" workbookViewId="0">
      <selection activeCell="N7" sqref="N7"/>
    </sheetView>
  </sheetViews>
  <sheetFormatPr defaultRowHeight="15"/>
  <cols>
    <col min="1" max="1" width="19" customWidth="1"/>
    <col min="2" max="8" width="10.28515625" customWidth="1"/>
    <col min="9" max="13" width="10.28515625" bestFit="1" customWidth="1"/>
  </cols>
  <sheetData>
    <row r="1" spans="1:13">
      <c r="A1" s="4"/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</row>
    <row r="2" spans="1:13">
      <c r="A2" s="4"/>
      <c r="B2" s="4">
        <f>IF(B1&lt;'план-факт'!$J$1+1,1,0)</f>
        <v>1</v>
      </c>
      <c r="C2" s="4">
        <f>IF(C1&lt;'план-факт'!$J$1+1,1,0)</f>
        <v>1</v>
      </c>
      <c r="D2" s="4">
        <f>IF(D1&lt;'план-факт'!$J$1+1,1,0)</f>
        <v>1</v>
      </c>
      <c r="E2" s="4">
        <f>IF(E1&lt;'план-факт'!$J$1+1,1,0)</f>
        <v>1</v>
      </c>
      <c r="F2" s="4">
        <f>IF(F1&lt;'план-факт'!$J$1+1,1,0)</f>
        <v>1</v>
      </c>
      <c r="G2" s="4">
        <f>IF(G1&lt;'план-факт'!$J$1+1,1,0)</f>
        <v>1</v>
      </c>
      <c r="H2" s="4">
        <f>IF(H1&lt;'план-факт'!$J$1+1,1,0)</f>
        <v>1</v>
      </c>
      <c r="I2" s="4">
        <f>IF(I1&lt;'план-факт'!$J$1+1,1,0)</f>
        <v>1</v>
      </c>
      <c r="J2" s="4">
        <f>IF(J1&lt;'план-факт'!$J$1+1,1,0)</f>
        <v>0</v>
      </c>
      <c r="K2" s="4">
        <f>IF(K1&lt;'план-факт'!$J$1+1,1,0)</f>
        <v>0</v>
      </c>
      <c r="L2" s="4">
        <f>IF(L1&lt;'план-факт'!$J$1+1,1,0)</f>
        <v>0</v>
      </c>
      <c r="M2" s="4">
        <f>IF(M1&lt;'план-факт'!$J$1+1,1,0)</f>
        <v>0</v>
      </c>
    </row>
    <row r="3" spans="1:13">
      <c r="A3" s="4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</row>
    <row r="4" spans="1:13">
      <c r="A4" s="1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2" t="s">
        <v>13</v>
      </c>
      <c r="B5" s="5"/>
      <c r="C5" s="5">
        <v>1317</v>
      </c>
      <c r="D5" s="5">
        <v>3400</v>
      </c>
      <c r="E5" s="5">
        <v>1638</v>
      </c>
      <c r="F5" s="5">
        <f>'Выборка агентских май'!F2</f>
        <v>5039</v>
      </c>
      <c r="G5" s="5">
        <f>'Выборка агентских июнь'!I2</f>
        <v>3092</v>
      </c>
      <c r="H5" s="5">
        <f>'Выборка агентских август'!I2</f>
        <v>812</v>
      </c>
      <c r="I5" s="5">
        <f>'Выборка агентских август'!I2</f>
        <v>812</v>
      </c>
      <c r="J5" s="5"/>
      <c r="K5" s="5"/>
      <c r="L5" s="5"/>
      <c r="M5" s="5"/>
    </row>
    <row r="6" spans="1:13">
      <c r="A6" s="2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1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" t="s">
        <v>13</v>
      </c>
      <c r="B8" s="5"/>
      <c r="C8" s="5">
        <v>4727</v>
      </c>
      <c r="D8" s="5">
        <v>13453</v>
      </c>
      <c r="E8" s="5">
        <v>6514</v>
      </c>
      <c r="F8" s="5">
        <f>'Выборка агентских май'!F3</f>
        <v>2203</v>
      </c>
      <c r="G8" s="5">
        <f>'Выборка агентских июнь'!I3</f>
        <v>4053</v>
      </c>
      <c r="H8" s="5">
        <f>'Выборка агентских август'!I3</f>
        <v>3471</v>
      </c>
      <c r="I8" s="5">
        <f>'Выборка агентских август'!I3</f>
        <v>3471</v>
      </c>
      <c r="J8" s="5"/>
      <c r="K8" s="5"/>
      <c r="L8" s="5"/>
      <c r="M8" s="5"/>
    </row>
    <row r="9" spans="1:13">
      <c r="A9" s="2" t="s">
        <v>14</v>
      </c>
      <c r="B9" s="5"/>
      <c r="C9" s="5">
        <f>2259+(375+108*1)</f>
        <v>2742</v>
      </c>
      <c r="D9" s="5">
        <f>1188+533</f>
        <v>1721</v>
      </c>
      <c r="E9" s="5">
        <f>1031+390</f>
        <v>1421</v>
      </c>
      <c r="F9" s="5">
        <f>1325+623</f>
        <v>1948</v>
      </c>
      <c r="G9" s="5">
        <f>574+1267</f>
        <v>1841</v>
      </c>
      <c r="H9" s="5">
        <f>1376+334</f>
        <v>1710</v>
      </c>
      <c r="I9" s="5">
        <f>1095+598</f>
        <v>1693</v>
      </c>
      <c r="J9" s="5"/>
      <c r="K9" s="5"/>
      <c r="L9" s="5"/>
      <c r="M9" s="5"/>
    </row>
    <row r="10" spans="1:13">
      <c r="A10" s="1" t="s">
        <v>16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2" t="s">
        <v>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2" t="s">
        <v>14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1" t="s">
        <v>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2" t="s">
        <v>13</v>
      </c>
      <c r="B14" s="5"/>
      <c r="C14" s="5">
        <v>7045</v>
      </c>
      <c r="D14" s="5">
        <v>3365</v>
      </c>
      <c r="E14" s="5">
        <v>2583</v>
      </c>
      <c r="F14" s="5">
        <f>'Выборка агентских май'!F4</f>
        <v>222</v>
      </c>
      <c r="G14" s="5">
        <f>'Выборка агентских июнь'!I4</f>
        <v>3743</v>
      </c>
      <c r="H14" s="5">
        <f>'Выборка агентских август'!I4</f>
        <v>271</v>
      </c>
      <c r="I14" s="5">
        <f>'Выборка агентских август'!I4</f>
        <v>271</v>
      </c>
      <c r="J14" s="5"/>
      <c r="K14" s="5"/>
      <c r="L14" s="5"/>
      <c r="M14" s="5"/>
    </row>
    <row r="15" spans="1:13">
      <c r="A15" s="2" t="s">
        <v>14</v>
      </c>
      <c r="B15" s="5"/>
      <c r="C15" s="5">
        <f>5370+(5267+140)</f>
        <v>10777</v>
      </c>
      <c r="D15" s="5">
        <v>5890</v>
      </c>
      <c r="E15" s="5">
        <f>7200+428+130+36+204</f>
        <v>7998</v>
      </c>
      <c r="F15" s="5"/>
      <c r="G15" s="5"/>
      <c r="H15" s="5"/>
      <c r="I15" s="5"/>
      <c r="J15" s="5"/>
      <c r="K15" s="5"/>
      <c r="L15" s="5"/>
      <c r="M15" s="5"/>
    </row>
    <row r="16" spans="1:13">
      <c r="A16" s="1" t="s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2" t="s">
        <v>13</v>
      </c>
      <c r="B17" s="5"/>
      <c r="C17" s="5">
        <v>3732</v>
      </c>
      <c r="D17" s="5">
        <v>1768</v>
      </c>
      <c r="E17" s="5">
        <v>3837</v>
      </c>
      <c r="F17" s="5">
        <f>'Выборка агентских май'!F5</f>
        <v>1526</v>
      </c>
      <c r="G17" s="5">
        <f>'Выборка агентских июнь'!I5</f>
        <v>9180</v>
      </c>
      <c r="H17" s="5">
        <f>'Выборка агентских август'!I5</f>
        <v>8989</v>
      </c>
      <c r="I17" s="5">
        <f>'Выборка агентских август'!I5</f>
        <v>8989</v>
      </c>
      <c r="J17" s="5"/>
      <c r="K17" s="5"/>
      <c r="L17" s="5"/>
      <c r="M17" s="5"/>
    </row>
    <row r="18" spans="1:13">
      <c r="A18" s="2" t="s">
        <v>14</v>
      </c>
      <c r="B18" s="5"/>
      <c r="C18" s="5">
        <f>(3+72+381)</f>
        <v>456</v>
      </c>
      <c r="D18" s="5">
        <v>4291</v>
      </c>
      <c r="E18" s="5">
        <f>240</f>
        <v>240</v>
      </c>
      <c r="F18" s="5">
        <f>5640+3627</f>
        <v>9267</v>
      </c>
      <c r="G18" s="5">
        <f>2409+5900</f>
        <v>8309</v>
      </c>
      <c r="H18" s="5">
        <f>5270+3207-11</f>
        <v>8466</v>
      </c>
      <c r="I18" s="5">
        <f>5883</f>
        <v>5883</v>
      </c>
      <c r="J18" s="5"/>
      <c r="K18" s="5"/>
      <c r="L18" s="5"/>
      <c r="M18" s="5"/>
    </row>
    <row r="19" spans="1:13">
      <c r="A19" s="1" t="s">
        <v>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2" t="s">
        <v>13</v>
      </c>
      <c r="B20" s="5"/>
      <c r="C20" s="5"/>
      <c r="D20" s="5">
        <v>11914</v>
      </c>
      <c r="E20" s="5">
        <v>7068</v>
      </c>
      <c r="F20" s="5">
        <f>'Выборка агентских май'!F6</f>
        <v>2309</v>
      </c>
      <c r="G20" s="5">
        <f>'Выборка агентских июнь'!I6</f>
        <v>3213</v>
      </c>
      <c r="H20" s="5">
        <f>'Выборка агентских август'!I6</f>
        <v>1015</v>
      </c>
      <c r="I20" s="5">
        <f>'Выборка агентских август'!I6</f>
        <v>1015</v>
      </c>
      <c r="J20" s="5"/>
      <c r="K20" s="5"/>
      <c r="L20" s="5"/>
      <c r="M20" s="5"/>
    </row>
    <row r="21" spans="1:13">
      <c r="A21" s="2" t="s">
        <v>14</v>
      </c>
      <c r="B21" s="5"/>
      <c r="C21" s="5"/>
      <c r="D21" s="5"/>
      <c r="E21" s="5">
        <f>2337+37+45+70</f>
        <v>2489</v>
      </c>
      <c r="F21" s="5">
        <v>605</v>
      </c>
      <c r="G21" s="5">
        <f>211</f>
        <v>211</v>
      </c>
      <c r="H21" s="5">
        <v>10</v>
      </c>
      <c r="I21" s="5">
        <f>5280+5882+2283</f>
        <v>13445</v>
      </c>
      <c r="J21" s="5"/>
      <c r="K21" s="5"/>
      <c r="L21" s="5"/>
      <c r="M21" s="5"/>
    </row>
    <row r="22" spans="1:13">
      <c r="A22" s="1" t="s">
        <v>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2" t="s">
        <v>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2" t="s">
        <v>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1" t="s">
        <v>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2" t="s">
        <v>13</v>
      </c>
      <c r="B26" s="5"/>
      <c r="C26" s="5">
        <f>1967+693</f>
        <v>2660</v>
      </c>
      <c r="D26" s="5">
        <v>13004</v>
      </c>
      <c r="E26" s="5">
        <v>2361</v>
      </c>
      <c r="F26" s="5">
        <f>'Выборка агентских май'!F7</f>
        <v>1849</v>
      </c>
      <c r="G26" s="5">
        <f>'Выборка агентских июнь'!I7</f>
        <v>3938</v>
      </c>
      <c r="H26" s="5">
        <f>'Выборка агентских август'!I7</f>
        <v>6609</v>
      </c>
      <c r="I26" s="5">
        <f>'Выборка агентских август'!I7</f>
        <v>6609</v>
      </c>
      <c r="J26" s="5"/>
      <c r="K26" s="5"/>
      <c r="L26" s="5"/>
      <c r="M26" s="5"/>
    </row>
    <row r="27" spans="1:13">
      <c r="A27" s="2" t="s">
        <v>14</v>
      </c>
      <c r="B27" s="5"/>
      <c r="C27" s="5">
        <f>4290+(617+163)</f>
        <v>5070</v>
      </c>
      <c r="D27" s="5">
        <f>2142+488</f>
        <v>2630</v>
      </c>
      <c r="E27" s="5">
        <f>1798+794</f>
        <v>2592</v>
      </c>
      <c r="F27" s="5">
        <f>2312+865</f>
        <v>3177</v>
      </c>
      <c r="G27" s="5">
        <f>623+2188</f>
        <v>2811</v>
      </c>
      <c r="H27" s="5">
        <f>2221+668</f>
        <v>2889</v>
      </c>
      <c r="I27" s="5">
        <f>1925+556</f>
        <v>2481</v>
      </c>
      <c r="J27" s="5"/>
      <c r="K27" s="5"/>
      <c r="L27" s="5"/>
      <c r="M27" s="5"/>
    </row>
    <row r="28" spans="1:13">
      <c r="A28" s="1" t="s">
        <v>22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2" t="s">
        <v>13</v>
      </c>
      <c r="B29" s="5"/>
      <c r="C29" s="5">
        <v>2781</v>
      </c>
      <c r="D29" s="5">
        <v>863</v>
      </c>
      <c r="E29" s="5">
        <v>275</v>
      </c>
      <c r="F29" s="5">
        <f>'Выборка агентских май'!F8</f>
        <v>3234</v>
      </c>
      <c r="G29" s="5">
        <f>'Выборка агентских июнь'!I8</f>
        <v>450</v>
      </c>
      <c r="H29" s="5">
        <f>'Выборка агентских август'!I8</f>
        <v>1021</v>
      </c>
      <c r="I29" s="5">
        <f>'Выборка агентских август'!I8</f>
        <v>1021</v>
      </c>
      <c r="J29" s="5"/>
      <c r="K29" s="5"/>
      <c r="L29" s="5"/>
      <c r="M29" s="5"/>
    </row>
    <row r="30" spans="1:13">
      <c r="A30" s="2" t="s">
        <v>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1" t="s">
        <v>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2" t="s">
        <v>13</v>
      </c>
      <c r="B32" s="5"/>
      <c r="C32" s="5">
        <v>2065</v>
      </c>
      <c r="D32" s="5">
        <v>4478</v>
      </c>
      <c r="E32" s="5">
        <v>2823</v>
      </c>
      <c r="F32" s="5">
        <f>'Выборка агентских май'!F9</f>
        <v>11852</v>
      </c>
      <c r="G32" s="5">
        <f>'Выборка агентских июнь'!I9</f>
        <v>18861</v>
      </c>
      <c r="H32" s="5">
        <f>'Выборка агентских август'!I9</f>
        <v>3865</v>
      </c>
      <c r="I32" s="5">
        <f>'Выборка агентских август'!I9</f>
        <v>3865</v>
      </c>
      <c r="J32" s="5"/>
      <c r="K32" s="5"/>
      <c r="L32" s="5"/>
      <c r="M32" s="5"/>
    </row>
    <row r="33" spans="1:13">
      <c r="A33" s="2" t="s">
        <v>14</v>
      </c>
      <c r="B33" s="5"/>
      <c r="C33" s="5"/>
      <c r="D33" s="5"/>
      <c r="E33" s="5"/>
      <c r="F33" s="5">
        <v>12522</v>
      </c>
      <c r="G33" s="5">
        <f>6837+12910</f>
        <v>19747</v>
      </c>
      <c r="H33" s="5"/>
      <c r="I33" s="5"/>
      <c r="J33" s="5"/>
      <c r="K33" s="5"/>
      <c r="L33" s="5"/>
      <c r="M33" s="5"/>
    </row>
    <row r="34" spans="1:13">
      <c r="A34" s="1" t="s">
        <v>24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A35" s="2" t="s">
        <v>13</v>
      </c>
      <c r="B35" s="5"/>
      <c r="C35" s="5">
        <v>2264</v>
      </c>
      <c r="D35" s="5">
        <v>11956</v>
      </c>
      <c r="E35" s="5"/>
      <c r="F35" s="5">
        <f>'Выборка агентских май'!F10</f>
        <v>17420</v>
      </c>
      <c r="G35" s="5">
        <f>'Выборка агентских июнь'!I10</f>
        <v>16118</v>
      </c>
      <c r="H35" s="5">
        <f>'Выборка агентских август'!I10</f>
        <v>6700</v>
      </c>
      <c r="I35" s="5">
        <f>'Выборка агентских август'!I10</f>
        <v>6700</v>
      </c>
      <c r="J35" s="5"/>
      <c r="K35" s="5"/>
      <c r="L35" s="5"/>
      <c r="M35" s="5"/>
    </row>
    <row r="36" spans="1:13">
      <c r="A36" s="2" t="s">
        <v>14</v>
      </c>
      <c r="B36" s="5"/>
      <c r="C36" s="5">
        <v>4497</v>
      </c>
      <c r="D36" s="5">
        <f>8510+6697</f>
        <v>15207</v>
      </c>
      <c r="E36" s="5"/>
      <c r="F36" s="5"/>
      <c r="G36" s="5"/>
      <c r="H36" s="5">
        <f>5150+5840</f>
        <v>10990</v>
      </c>
      <c r="I36" s="5">
        <f>5029</f>
        <v>5029</v>
      </c>
      <c r="J36" s="5"/>
      <c r="K36" s="5"/>
      <c r="L36" s="5"/>
      <c r="M36" s="5"/>
    </row>
    <row r="37" spans="1:13">
      <c r="A37" s="1" t="s">
        <v>25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2" t="s">
        <v>13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A39" s="2" t="s">
        <v>14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1" spans="1:13">
      <c r="F41" s="3">
        <f>F33+F30+F27+F21+F18+F9</f>
        <v>27519</v>
      </c>
      <c r="G41" s="3"/>
    </row>
    <row r="42" spans="1:13">
      <c r="A42" t="s">
        <v>26</v>
      </c>
    </row>
    <row r="43" spans="1:13">
      <c r="A43" t="s">
        <v>27</v>
      </c>
      <c r="H43" s="3">
        <f>H5+H8+H11+H14+H17+H20+H23+H26+H29+H32+H35+H38</f>
        <v>32753</v>
      </c>
      <c r="I43" s="3">
        <f>I5+I8+I11+I14+I17+I20+I23+I26+I29+I32+I35+I38</f>
        <v>32753</v>
      </c>
      <c r="J43" s="3">
        <f t="shared" ref="I43:M43" si="0">J5+J8+J11+J14+J17+J20+J23+J26+J29+J32+J35+J38</f>
        <v>0</v>
      </c>
      <c r="K43" s="3">
        <f t="shared" si="0"/>
        <v>0</v>
      </c>
      <c r="L43" s="3">
        <f t="shared" si="0"/>
        <v>0</v>
      </c>
      <c r="M43" s="3">
        <f t="shared" si="0"/>
        <v>0</v>
      </c>
    </row>
    <row r="44" spans="1:13">
      <c r="A44" t="s">
        <v>28</v>
      </c>
      <c r="H44" s="3">
        <f>H6+H9+H12+H15+H18+H21+H24+H27+H30+H33+H36+H39</f>
        <v>24065</v>
      </c>
      <c r="I44" s="3">
        <f t="shared" ref="I44:M44" si="1">I6+I9+I12+I15+I18+I21+I24+I27+I30+I33+I36+I39</f>
        <v>28531</v>
      </c>
      <c r="J44" s="3">
        <f t="shared" si="1"/>
        <v>0</v>
      </c>
      <c r="K44" s="3">
        <f t="shared" si="1"/>
        <v>0</v>
      </c>
      <c r="L44" s="3">
        <f t="shared" si="1"/>
        <v>0</v>
      </c>
      <c r="M44" s="3">
        <f t="shared" si="1"/>
        <v>0</v>
      </c>
    </row>
  </sheetData>
  <autoFilter ref="A1:A59" xr:uid="{00000000-0009-0000-0000-000001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U8" sqref="U8"/>
    </sheetView>
  </sheetViews>
  <sheetFormatPr defaultRowHeight="15"/>
  <cols>
    <col min="1" max="1" width="19" customWidth="1"/>
    <col min="2" max="13" width="10.28515625" bestFit="1" customWidth="1"/>
  </cols>
  <sheetData>
    <row r="1" spans="1:13">
      <c r="A1" s="4"/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</row>
    <row r="2" spans="1:13">
      <c r="A2" s="4"/>
      <c r="B2" s="4">
        <f>IF(B1&lt;'план-факт'!$J$1+1,1,0)</f>
        <v>1</v>
      </c>
      <c r="C2" s="4">
        <f>IF(C1&lt;'план-факт'!$J$1+1,1,0)</f>
        <v>1</v>
      </c>
      <c r="D2" s="4">
        <f>IF(D1&lt;'план-факт'!$J$1+1,1,0)</f>
        <v>1</v>
      </c>
      <c r="E2" s="4">
        <f>IF(E1&lt;'план-факт'!$J$1+1,1,0)</f>
        <v>1</v>
      </c>
      <c r="F2" s="4">
        <f>IF(F1&lt;'план-факт'!$J$1+1,1,0)</f>
        <v>1</v>
      </c>
      <c r="G2" s="4">
        <f>IF(G1&lt;'план-факт'!$J$1+1,1,0)</f>
        <v>1</v>
      </c>
      <c r="H2" s="4">
        <f>IF(H1&lt;'план-факт'!$J$1+1,1,0)</f>
        <v>1</v>
      </c>
      <c r="I2" s="4">
        <f>IF(I1&lt;'план-факт'!$J$1+1,1,0)</f>
        <v>1</v>
      </c>
      <c r="J2" s="4">
        <f>IF(J1&lt;'план-факт'!$J$1+1,1,0)</f>
        <v>0</v>
      </c>
      <c r="K2" s="4">
        <f>IF(K1&lt;'план-факт'!$J$1+1,1,0)</f>
        <v>0</v>
      </c>
      <c r="L2" s="4">
        <f>IF(L1&lt;'план-факт'!$J$1+1,1,0)</f>
        <v>0</v>
      </c>
      <c r="M2" s="4">
        <f>IF(M1&lt;'план-факт'!$J$1+1,1,0)</f>
        <v>0</v>
      </c>
    </row>
    <row r="3" spans="1:13">
      <c r="A3" s="4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</row>
    <row r="4" spans="1:13">
      <c r="A4" s="1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2" t="s">
        <v>13</v>
      </c>
      <c r="B5" s="5">
        <f>'[1]Кредиты 2022'!C201</f>
        <v>-2046.3092914999966</v>
      </c>
      <c r="C5" s="5">
        <f>'[1]Кредиты 2022'!D201</f>
        <v>-1655.7781467297214</v>
      </c>
      <c r="D5" s="5">
        <f>'[1]Кредиты 2022'!E201</f>
        <v>-1671.9927292692075</v>
      </c>
      <c r="E5" s="5">
        <f>'[1]Кредиты 2022'!F201</f>
        <v>-1886.3554839710437</v>
      </c>
      <c r="F5" s="5">
        <f>'[1]Кредиты 2022'!G201</f>
        <v>-1625.197436419875</v>
      </c>
      <c r="G5" s="5">
        <f>'[1]Кредиты 2022'!H201</f>
        <v>-1252.3676254978172</v>
      </c>
      <c r="H5" s="5">
        <f>'[1]Кредиты 2022'!I201</f>
        <v>-1478.8512429570703</v>
      </c>
      <c r="I5" s="5">
        <f>'[1]Кредиты 2022'!J201</f>
        <v>-1724.7446675607448</v>
      </c>
      <c r="J5" s="5">
        <f>'[1]Кредиты 2022'!K201</f>
        <v>-1212.0941397060719</v>
      </c>
      <c r="K5" s="5">
        <f>'[1]Кредиты 2022'!L201</f>
        <v>0</v>
      </c>
      <c r="L5" s="5">
        <f>'[1]Кредиты 2022'!M201</f>
        <v>0</v>
      </c>
      <c r="M5" s="5">
        <f>'[1]Кредиты 2022'!N201</f>
        <v>0</v>
      </c>
    </row>
    <row r="6" spans="1:13">
      <c r="A6" s="2" t="s">
        <v>14</v>
      </c>
      <c r="B6" s="5">
        <f>'[1]Кредиты 2022'!C202</f>
        <v>0</v>
      </c>
      <c r="C6" s="5">
        <f>'[1]Кредиты 2022'!D202</f>
        <v>0</v>
      </c>
      <c r="D6" s="5">
        <f>'[1]Кредиты 2022'!E202</f>
        <v>0</v>
      </c>
      <c r="E6" s="5">
        <f>'[1]Кредиты 2022'!F202</f>
        <v>0</v>
      </c>
      <c r="F6" s="5">
        <f>'[1]Кредиты 2022'!G202</f>
        <v>0</v>
      </c>
      <c r="G6" s="5">
        <f>'[1]Кредиты 2022'!H202</f>
        <v>0</v>
      </c>
      <c r="H6" s="5">
        <f>'[1]Кредиты 2022'!I202</f>
        <v>0</v>
      </c>
      <c r="I6" s="5">
        <f>'[1]Кредиты 2022'!J202</f>
        <v>0</v>
      </c>
      <c r="J6" s="5">
        <f>'[1]Кредиты 2022'!K202</f>
        <v>0</v>
      </c>
      <c r="K6" s="5">
        <f>'[1]Кредиты 2022'!L202</f>
        <v>0</v>
      </c>
      <c r="L6" s="5">
        <f>'[1]Кредиты 2022'!M202</f>
        <v>0</v>
      </c>
      <c r="M6" s="5">
        <f>'[1]Кредиты 2022'!N202</f>
        <v>0</v>
      </c>
    </row>
    <row r="7" spans="1:13">
      <c r="A7" s="1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" t="s">
        <v>13</v>
      </c>
      <c r="B8" s="5">
        <f>'[1]Кредиты 2022'!C209</f>
        <v>-4982.2980903105308</v>
      </c>
      <c r="C8" s="5">
        <f>'[1]Кредиты 2022'!D209</f>
        <v>-4922.5155897785708</v>
      </c>
      <c r="D8" s="5">
        <f>'[1]Кредиты 2022'!E209</f>
        <v>-5375.1977856387966</v>
      </c>
      <c r="E8" s="5">
        <f>'[1]Кредиты 2022'!F209</f>
        <v>-7063.7914473048413</v>
      </c>
      <c r="F8" s="5">
        <f>'[1]Кредиты 2022'!G209</f>
        <v>-7184.9687529905559</v>
      </c>
      <c r="G8" s="5">
        <f>'[1]Кредиты 2022'!H209</f>
        <v>-5606.9895744016849</v>
      </c>
      <c r="H8" s="5">
        <f>'[1]Кредиты 2022'!I209</f>
        <v>-5633.4773961557567</v>
      </c>
      <c r="I8" s="5">
        <f>'[1]Кредиты 2022'!J209</f>
        <v>-5547.0645444170441</v>
      </c>
      <c r="J8" s="5">
        <f>'[1]Кредиты 2022'!K209</f>
        <v>-3946.9758213111782</v>
      </c>
      <c r="K8" s="5">
        <f>'[1]Кредиты 2022'!L209</f>
        <v>-4198.0372493755585</v>
      </c>
      <c r="L8" s="5">
        <f>'[1]Кредиты 2022'!M209</f>
        <v>-3597.8054350271814</v>
      </c>
      <c r="M8" s="5">
        <f>'[1]Кредиты 2022'!N209</f>
        <v>-804.9294936259339</v>
      </c>
    </row>
    <row r="9" spans="1:13">
      <c r="A9" s="2" t="s">
        <v>14</v>
      </c>
      <c r="B9" s="5">
        <f>'[1]Кредиты 2022'!C210</f>
        <v>-2000</v>
      </c>
      <c r="C9" s="5">
        <f>'[1]Кредиты 2022'!D210</f>
        <v>-2000</v>
      </c>
      <c r="D9" s="5">
        <f>'[1]Кредиты 2022'!E210</f>
        <v>-2000</v>
      </c>
      <c r="E9" s="5">
        <f>'[1]Кредиты 2022'!F210</f>
        <v>-2000</v>
      </c>
      <c r="F9" s="5">
        <f>'[1]Кредиты 2022'!G210</f>
        <v>-2000</v>
      </c>
      <c r="G9" s="5">
        <f>'[1]Кредиты 2022'!H210</f>
        <v>-2000</v>
      </c>
      <c r="H9" s="5">
        <f>'[1]Кредиты 2022'!I210</f>
        <v>-2000</v>
      </c>
      <c r="I9" s="5">
        <f>'[1]Кредиты 2022'!J210</f>
        <v>0</v>
      </c>
      <c r="J9" s="5">
        <f>'[1]Кредиты 2022'!K210</f>
        <v>0</v>
      </c>
      <c r="K9" s="5">
        <f>'[1]Кредиты 2022'!L210</f>
        <v>0</v>
      </c>
      <c r="L9" s="5">
        <f>'[1]Кредиты 2022'!M210</f>
        <v>0</v>
      </c>
      <c r="M9" s="5">
        <f>'[1]Кредиты 2022'!N210</f>
        <v>0</v>
      </c>
    </row>
    <row r="10" spans="1:13">
      <c r="A10" s="1" t="s">
        <v>16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2" t="s">
        <v>13</v>
      </c>
      <c r="B11" s="5">
        <f>'[1]Кредиты 2022'!C217</f>
        <v>0</v>
      </c>
      <c r="C11" s="5">
        <f>'[1]Кредиты 2022'!D217</f>
        <v>-4.4999999999999999E-4</v>
      </c>
      <c r="D11" s="5">
        <f>'[1]Кредиты 2022'!E217</f>
        <v>-4.4999999999999999E-4</v>
      </c>
      <c r="E11" s="5">
        <f>'[1]Кредиты 2022'!F217</f>
        <v>-4.4999999999999999E-4</v>
      </c>
      <c r="F11" s="5">
        <f>'[1]Кредиты 2022'!G217</f>
        <v>-4.4999999999999999E-4</v>
      </c>
      <c r="G11" s="5">
        <f>'[1]Кредиты 2022'!H217</f>
        <v>-4.4999999999999999E-4</v>
      </c>
      <c r="H11" s="5">
        <f>'[1]Кредиты 2022'!I217</f>
        <v>-4.4999999999999999E-4</v>
      </c>
      <c r="I11" s="5">
        <f>'[1]Кредиты 2022'!J217</f>
        <v>-4.4999999999999999E-4</v>
      </c>
      <c r="J11" s="5">
        <f>'[1]Кредиты 2022'!K217</f>
        <v>-2702.5671899899312</v>
      </c>
      <c r="K11" s="5">
        <f>'[1]Кредиты 2022'!L217</f>
        <v>-3335.6369457171445</v>
      </c>
      <c r="L11" s="5">
        <f>'[1]Кредиты 2022'!M217</f>
        <v>-3656.4894588146326</v>
      </c>
      <c r="M11" s="5">
        <f>'[1]Кредиты 2022'!N217</f>
        <v>-3980.3715679260963</v>
      </c>
    </row>
    <row r="12" spans="1:13">
      <c r="A12" s="2" t="s">
        <v>14</v>
      </c>
      <c r="B12" s="5">
        <f>'[1]Кредиты 2022'!C218</f>
        <v>0</v>
      </c>
      <c r="C12" s="5">
        <f>'[1]Кредиты 2022'!D218</f>
        <v>0</v>
      </c>
      <c r="D12" s="5">
        <f>'[1]Кредиты 2022'!E218</f>
        <v>0</v>
      </c>
      <c r="E12" s="5">
        <f>'[1]Кредиты 2022'!F218</f>
        <v>0</v>
      </c>
      <c r="F12" s="5">
        <f>'[1]Кредиты 2022'!G218</f>
        <v>0</v>
      </c>
      <c r="G12" s="5">
        <f>'[1]Кредиты 2022'!H218</f>
        <v>0</v>
      </c>
      <c r="H12" s="5">
        <f>'[1]Кредиты 2022'!I218</f>
        <v>0</v>
      </c>
      <c r="I12" s="5">
        <f>'[1]Кредиты 2022'!J218</f>
        <v>-2000</v>
      </c>
      <c r="J12" s="5">
        <f>'[1]Кредиты 2022'!K218</f>
        <v>-2000</v>
      </c>
      <c r="K12" s="5">
        <f>'[1]Кредиты 2022'!L218</f>
        <v>-2000</v>
      </c>
      <c r="L12" s="5">
        <f>'[1]Кредиты 2022'!M218</f>
        <v>-2000</v>
      </c>
      <c r="M12" s="5">
        <f>'[1]Кредиты 2022'!N218</f>
        <v>-2000</v>
      </c>
    </row>
    <row r="13" spans="1:13">
      <c r="A13" s="1" t="s">
        <v>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2" t="s">
        <v>13</v>
      </c>
      <c r="B14" s="5">
        <f>'[1]Кредиты 2022'!C233</f>
        <v>-2067.0273500000003</v>
      </c>
      <c r="C14" s="5">
        <f>'[1]Кредиты 2022'!D233</f>
        <v>-2256.7551675187919</v>
      </c>
      <c r="D14" s="5">
        <f>'[1]Кредиты 2022'!E233</f>
        <v>-1384.4886776181352</v>
      </c>
      <c r="E14" s="5">
        <f>'[1]Кредиты 2022'!F233</f>
        <v>-1891.7226855028996</v>
      </c>
      <c r="F14" s="5">
        <f>'[1]Кредиты 2022'!G233</f>
        <v>-971.24898665404294</v>
      </c>
      <c r="G14" s="5">
        <f>'[1]Кредиты 2022'!H233</f>
        <v>-1037.8173410708914</v>
      </c>
      <c r="H14" s="5">
        <f>'[1]Кредиты 2022'!I233</f>
        <v>0</v>
      </c>
      <c r="I14" s="5">
        <f>'[1]Кредиты 2022'!J233</f>
        <v>0</v>
      </c>
      <c r="J14" s="5">
        <f>'[1]Кредиты 2022'!K233</f>
        <v>0</v>
      </c>
      <c r="K14" s="5">
        <f>'[1]Кредиты 2022'!L233</f>
        <v>0</v>
      </c>
      <c r="L14" s="5">
        <f>'[1]Кредиты 2022'!M233</f>
        <v>0</v>
      </c>
      <c r="M14" s="5">
        <f>'[1]Кредиты 2022'!N233</f>
        <v>0</v>
      </c>
    </row>
    <row r="15" spans="1:13">
      <c r="A15" s="2" t="s">
        <v>14</v>
      </c>
      <c r="B15" s="5">
        <f>'[1]Кредиты 2022'!C234</f>
        <v>-1412.0739049525355</v>
      </c>
      <c r="C15" s="5">
        <f>'[1]Кредиты 2022'!D234</f>
        <v>-2089.1194177049251</v>
      </c>
      <c r="D15" s="5">
        <f>'[1]Кредиты 2022'!E234</f>
        <v>-1123.1405463434633</v>
      </c>
      <c r="E15" s="5">
        <f>'[1]Кредиты 2022'!F234</f>
        <v>-1546.7012414083065</v>
      </c>
      <c r="F15" s="5">
        <f>'[1]Кредиты 2022'!G234</f>
        <v>-713.99582108004665</v>
      </c>
      <c r="G15" s="5">
        <f>'[1]Кредиты 2022'!H234</f>
        <v>-1314.5252459241763</v>
      </c>
      <c r="H15" s="5">
        <f>'[1]Кредиты 2022'!I234</f>
        <v>-1415.8033737710732</v>
      </c>
      <c r="I15" s="5">
        <f>'[1]Кредиты 2022'!J234</f>
        <v>-768.49244681560231</v>
      </c>
      <c r="J15" s="5">
        <f>'[1]Кредиты 2022'!K234</f>
        <v>-1163.835098312436</v>
      </c>
      <c r="K15" s="5">
        <f>'[1]Кредиты 2022'!L234</f>
        <v>-1161.6691857242838</v>
      </c>
      <c r="L15" s="5">
        <f>'[1]Кредиты 2022'!M234</f>
        <v>-688.07005640601426</v>
      </c>
      <c r="M15" s="5">
        <f>'[1]Кредиты 2022'!N234</f>
        <v>-961.6660529839329</v>
      </c>
    </row>
    <row r="16" spans="1:13">
      <c r="A16" s="1" t="s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2" t="s">
        <v>13</v>
      </c>
      <c r="B17" s="5">
        <f>'[1]Кредиты 2022'!C241</f>
        <v>-943.43370000000004</v>
      </c>
      <c r="C17" s="5">
        <f>'[1]Кредиты 2022'!D241</f>
        <v>-2461.8385216876131</v>
      </c>
      <c r="D17" s="5">
        <f>'[1]Кредиты 2022'!E241</f>
        <v>-5844.4985222116229</v>
      </c>
      <c r="E17" s="5">
        <f>'[1]Кредиты 2022'!F241</f>
        <v>-5929.5064557188916</v>
      </c>
      <c r="F17" s="5">
        <f>'[1]Кредиты 2022'!G241</f>
        <v>-5250.7320267913019</v>
      </c>
      <c r="G17" s="5">
        <f>'[1]Кредиты 2022'!H241</f>
        <v>-5210.874414347637</v>
      </c>
      <c r="H17" s="5">
        <f>'[1]Кредиты 2022'!I241</f>
        <v>-5261.5020432416713</v>
      </c>
      <c r="I17" s="5">
        <f>'[1]Кредиты 2022'!J241</f>
        <v>-12514.846643843945</v>
      </c>
      <c r="J17" s="5">
        <f>'[1]Кредиты 2022'!K241</f>
        <v>-16182.344070514635</v>
      </c>
      <c r="K17" s="5">
        <f>'[1]Кредиты 2022'!L241</f>
        <v>-18055.68991440667</v>
      </c>
      <c r="L17" s="5">
        <f>'[1]Кредиты 2022'!M241</f>
        <v>-16353.86429387494</v>
      </c>
      <c r="M17" s="5">
        <f>'[1]Кредиты 2022'!N241</f>
        <v>0</v>
      </c>
    </row>
    <row r="18" spans="1:13">
      <c r="A18" s="2" t="s">
        <v>14</v>
      </c>
      <c r="B18" s="5">
        <f>'[1]Кредиты 2022'!C242</f>
        <v>-567.43179697350411</v>
      </c>
      <c r="C18" s="5">
        <f>'[1]Кредиты 2022'!D242</f>
        <v>-1223.4520460870192</v>
      </c>
      <c r="D18" s="5">
        <f>'[1]Кредиты 2022'!E242</f>
        <v>-2763.501713515865</v>
      </c>
      <c r="E18" s="5">
        <f>'[1]Кредиты 2022'!F242</f>
        <v>-2662.7458041898294</v>
      </c>
      <c r="F18" s="5">
        <f>'[1]Кредиты 2022'!G242</f>
        <v>-2219.2482050734288</v>
      </c>
      <c r="G18" s="5">
        <f>'[1]Кредиты 2022'!H242</f>
        <v>-3142.9378009610759</v>
      </c>
      <c r="H18" s="5">
        <f>'[1]Кредиты 2022'!I242</f>
        <v>-2436.702913948975</v>
      </c>
      <c r="I18" s="5">
        <f>'[1]Кредиты 2022'!J242</f>
        <v>-5591.6428033224793</v>
      </c>
      <c r="J18" s="5">
        <f>'[1]Кредиты 2022'!K242</f>
        <v>-6692.8592864562988</v>
      </c>
      <c r="K18" s="5">
        <f>'[1]Кредиты 2022'!L242</f>
        <v>-7398.4819349407526</v>
      </c>
      <c r="L18" s="5">
        <f>'[1]Кредиты 2022'!M242</f>
        <v>-6392.8897031752822</v>
      </c>
      <c r="M18" s="5">
        <f>'[1]Кредиты 2022'!N242</f>
        <v>-6010.4128311495806</v>
      </c>
    </row>
    <row r="19" spans="1:13">
      <c r="A19" s="1" t="s">
        <v>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2" t="s">
        <v>13</v>
      </c>
      <c r="B20" s="5">
        <f>'[1]Кредиты 2022'!C249</f>
        <v>-6656.7059940000008</v>
      </c>
      <c r="C20" s="5">
        <f>'[1]Кредиты 2022'!D249</f>
        <v>-7851.1809696261716</v>
      </c>
      <c r="D20" s="5">
        <f>'[1]Кредиты 2022'!E249</f>
        <v>-10454.623724718178</v>
      </c>
      <c r="E20" s="5">
        <f>'[1]Кредиты 2022'!F249</f>
        <v>-10237.104724348896</v>
      </c>
      <c r="F20" s="5">
        <f>'[1]Кредиты 2022'!G249</f>
        <v>-11110.081513140023</v>
      </c>
      <c r="G20" s="5">
        <f>'[1]Кредиты 2022'!H249</f>
        <v>-3914.1201693151993</v>
      </c>
      <c r="H20" s="5">
        <f>'[1]Кредиты 2022'!I249</f>
        <v>-14497.745154848431</v>
      </c>
      <c r="I20" s="5">
        <f>'[1]Кредиты 2022'!J249</f>
        <v>-8291.1394250677313</v>
      </c>
      <c r="J20" s="5">
        <f>'[1]Кредиты 2022'!K249</f>
        <v>-4422.8856167591566</v>
      </c>
      <c r="K20" s="5">
        <f>'[1]Кредиты 2022'!L249</f>
        <v>-3196.742212097528</v>
      </c>
      <c r="L20" s="5">
        <f>'[1]Кредиты 2022'!M249</f>
        <v>-5421.5405144159877</v>
      </c>
      <c r="M20" s="5">
        <f>'[1]Кредиты 2022'!N249</f>
        <v>-6434.8824157835897</v>
      </c>
    </row>
    <row r="21" spans="1:13">
      <c r="A21" s="2" t="s">
        <v>14</v>
      </c>
      <c r="B21" s="5">
        <f>'[1]Кредиты 2022'!C250</f>
        <v>-4547.315293994513</v>
      </c>
      <c r="C21" s="5">
        <f>'[1]Кредиты 2022'!D250</f>
        <v>-4191.6557607024424</v>
      </c>
      <c r="D21" s="5">
        <f>'[1]Кредиты 2022'!E250</f>
        <v>-5562.7100241822154</v>
      </c>
      <c r="E21" s="5">
        <f>'[1]Кредиты 2022'!F250</f>
        <v>-5922.1062746429752</v>
      </c>
      <c r="F21" s="5">
        <f>'[1]Кредиты 2022'!G250</f>
        <v>-5946.343543990135</v>
      </c>
      <c r="G21" s="5">
        <f>'[1]Кредиты 2022'!H250</f>
        <v>-2214.832660743547</v>
      </c>
      <c r="H21" s="5">
        <f>'[1]Кредиты 2022'!I250</f>
        <v>-8959.8858253375856</v>
      </c>
      <c r="I21" s="5">
        <f>'[1]Кредиты 2022'!J250</f>
        <v>-4678.2941580467595</v>
      </c>
      <c r="J21" s="5">
        <f>'[1]Кредиты 2022'!K250</f>
        <v>-2336.4840074599097</v>
      </c>
      <c r="K21" s="5">
        <f>'[1]Кредиты 2022'!L250</f>
        <v>-1748.4463355676032</v>
      </c>
      <c r="L21" s="5">
        <f>'[1]Кредиты 2022'!M250</f>
        <v>-2737.5196464458509</v>
      </c>
      <c r="M21" s="5">
        <f>'[1]Кредиты 2022'!N250</f>
        <v>-2906.851762632688</v>
      </c>
    </row>
    <row r="22" spans="1:13">
      <c r="A22" s="1" t="s">
        <v>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2" t="s">
        <v>13</v>
      </c>
      <c r="B23" s="5">
        <f>'[1]Кредиты 2022'!C259</f>
        <v>0</v>
      </c>
      <c r="C23" s="5">
        <f>'[1]Кредиты 2022'!D259</f>
        <v>0</v>
      </c>
      <c r="D23" s="5">
        <f>'[1]Кредиты 2022'!E259</f>
        <v>0</v>
      </c>
      <c r="E23" s="5">
        <f>'[1]Кредиты 2022'!F259</f>
        <v>0</v>
      </c>
      <c r="F23" s="5">
        <f>'[1]Кредиты 2022'!G259</f>
        <v>0</v>
      </c>
      <c r="G23" s="5">
        <f>'[1]Кредиты 2022'!H259</f>
        <v>0</v>
      </c>
      <c r="H23" s="5">
        <f>'[1]Кредиты 2022'!I259</f>
        <v>0</v>
      </c>
      <c r="I23" s="5">
        <f>'[1]Кредиты 2022'!J259</f>
        <v>0</v>
      </c>
      <c r="J23" s="5">
        <f>'[1]Кредиты 2022'!K259</f>
        <v>-4428.2949263690371</v>
      </c>
      <c r="K23" s="5">
        <f>'[1]Кредиты 2022'!L259</f>
        <v>-5322.2419186399075</v>
      </c>
      <c r="L23" s="5">
        <f>'[1]Кредиты 2022'!M259</f>
        <v>-4511.2209515864033</v>
      </c>
      <c r="M23" s="5">
        <f>'[1]Кредиты 2022'!N259</f>
        <v>-4553.2755768890856</v>
      </c>
    </row>
    <row r="24" spans="1:13">
      <c r="A24" s="2" t="s">
        <v>14</v>
      </c>
      <c r="B24" s="5">
        <f>'[1]Кредиты 2022'!C260</f>
        <v>0</v>
      </c>
      <c r="C24" s="5">
        <f>'[1]Кредиты 2022'!D260</f>
        <v>0</v>
      </c>
      <c r="D24" s="5">
        <f>'[1]Кредиты 2022'!E260</f>
        <v>0</v>
      </c>
      <c r="E24" s="5">
        <f>'[1]Кредиты 2022'!F260</f>
        <v>0</v>
      </c>
      <c r="F24" s="5">
        <f>'[1]Кредиты 2022'!G260</f>
        <v>0</v>
      </c>
      <c r="G24" s="5">
        <f>'[1]Кредиты 2022'!H260</f>
        <v>0</v>
      </c>
      <c r="H24" s="5">
        <f>'[1]Кредиты 2022'!I260</f>
        <v>0</v>
      </c>
      <c r="I24" s="5">
        <f>'[1]Кредиты 2022'!J260</f>
        <v>0</v>
      </c>
      <c r="J24" s="5">
        <f>'[1]Кредиты 2022'!K260</f>
        <v>-2531.4321720278404</v>
      </c>
      <c r="K24" s="5">
        <f>'[1]Кредиты 2022'!L260</f>
        <v>-3196.279207817352</v>
      </c>
      <c r="L24" s="5">
        <f>'[1]Кредиты 2022'!M260</f>
        <v>-2415.2222664681804</v>
      </c>
      <c r="M24" s="5">
        <f>'[1]Кредиты 2022'!N260</f>
        <v>-2374.1386690477652</v>
      </c>
    </row>
    <row r="25" spans="1:13">
      <c r="A25" s="1" t="s">
        <v>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2" t="s">
        <v>13</v>
      </c>
      <c r="B26" s="5">
        <f>'[1]Кредиты 2022'!C267</f>
        <v>-3762.8212000000003</v>
      </c>
      <c r="C26" s="5">
        <f>'[1]Кредиты 2022'!D267</f>
        <v>-2260.4081930156367</v>
      </c>
      <c r="D26" s="5">
        <f>'[1]Кредиты 2022'!E267</f>
        <v>-3579.3013154270056</v>
      </c>
      <c r="E26" s="5">
        <f>'[1]Кредиты 2022'!F267</f>
        <v>-4335.8871494872528</v>
      </c>
      <c r="F26" s="5">
        <f>'[1]Кредиты 2022'!G267</f>
        <v>-4268.9392382510368</v>
      </c>
      <c r="G26" s="5">
        <f>'[1]Кредиты 2022'!H267</f>
        <v>-3718.197997257108</v>
      </c>
      <c r="H26" s="5">
        <f>'[1]Кредиты 2022'!I267</f>
        <v>-4114.0038362422365</v>
      </c>
      <c r="I26" s="5">
        <f>'[1]Кредиты 2022'!J267</f>
        <v>-3345.7452949809021</v>
      </c>
      <c r="J26" s="5">
        <f>'[1]Кредиты 2022'!K267</f>
        <v>-3811.5045485274081</v>
      </c>
      <c r="K26" s="5">
        <f>'[1]Кредиты 2022'!L267</f>
        <v>-4549.5490749713545</v>
      </c>
      <c r="L26" s="5">
        <f>'[1]Кредиты 2022'!M267</f>
        <v>-4674.5525875491485</v>
      </c>
      <c r="M26" s="5">
        <f>'[1]Кредиты 2022'!N267</f>
        <v>-4907.7071403485234</v>
      </c>
    </row>
    <row r="27" spans="1:13">
      <c r="A27" s="2" t="s">
        <v>14</v>
      </c>
      <c r="B27" s="5">
        <f>'[1]Кредиты 2022'!C268</f>
        <v>-1000</v>
      </c>
      <c r="C27" s="5">
        <f>'[1]Кредиты 2022'!D268</f>
        <v>-1000</v>
      </c>
      <c r="D27" s="5">
        <f>'[1]Кредиты 2022'!E268</f>
        <v>-1000</v>
      </c>
      <c r="E27" s="5">
        <f>'[1]Кредиты 2022'!F268</f>
        <v>-1000</v>
      </c>
      <c r="F27" s="5">
        <f>'[1]Кредиты 2022'!G268</f>
        <v>-1000</v>
      </c>
      <c r="G27" s="5">
        <f>'[1]Кредиты 2022'!H268</f>
        <v>-1000</v>
      </c>
      <c r="H27" s="5">
        <f>'[1]Кредиты 2022'!I268</f>
        <v>-1000</v>
      </c>
      <c r="I27" s="5">
        <f>'[1]Кредиты 2022'!J268</f>
        <v>-1000</v>
      </c>
      <c r="J27" s="5">
        <f>'[1]Кредиты 2022'!K268</f>
        <v>-1000</v>
      </c>
      <c r="K27" s="5">
        <f>'[1]Кредиты 2022'!L268</f>
        <v>-1000</v>
      </c>
      <c r="L27" s="5">
        <f>'[1]Кредиты 2022'!M268</f>
        <v>-1000</v>
      </c>
      <c r="M27" s="5">
        <f>'[1]Кредиты 2022'!N268</f>
        <v>-1000</v>
      </c>
    </row>
    <row r="28" spans="1:13">
      <c r="A28" s="1" t="s">
        <v>22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2" t="s">
        <v>13</v>
      </c>
      <c r="B29" s="5">
        <f>'[1]Кредиты 2022'!C275</f>
        <v>-1565.576</v>
      </c>
      <c r="C29" s="5">
        <f>'[1]Кредиты 2022'!D275</f>
        <v>-883.74207158053946</v>
      </c>
      <c r="D29" s="5">
        <f>'[1]Кредиты 2022'!E275</f>
        <v>-1224.4975910635662</v>
      </c>
      <c r="E29" s="5">
        <f>'[1]Кредиты 2022'!F275</f>
        <v>-1945.9372278700685</v>
      </c>
      <c r="F29" s="5">
        <f>'[1]Кредиты 2022'!G275</f>
        <v>-2206.9665360542749</v>
      </c>
      <c r="G29" s="5">
        <f>'[1]Кредиты 2022'!H275</f>
        <v>-1892.2701793581612</v>
      </c>
      <c r="H29" s="5">
        <f>'[1]Кредиты 2022'!I275</f>
        <v>-1483.6391270084944</v>
      </c>
      <c r="I29" s="5">
        <f>'[1]Кредиты 2022'!J275</f>
        <v>-1917.8648798196964</v>
      </c>
      <c r="J29" s="5">
        <f>'[1]Кредиты 2022'!K275</f>
        <v>-1992.4880696697373</v>
      </c>
      <c r="K29" s="5">
        <f>'[1]Кредиты 2022'!L275</f>
        <v>-1994.7710706727223</v>
      </c>
      <c r="L29" s="5">
        <f>'[1]Кредиты 2022'!M275</f>
        <v>-2011.7150874539286</v>
      </c>
      <c r="M29" s="5">
        <f>'[1]Кредиты 2022'!N275</f>
        <v>-2028.8134317462529</v>
      </c>
    </row>
    <row r="30" spans="1:13">
      <c r="A30" s="2" t="s">
        <v>14</v>
      </c>
      <c r="B30" s="5">
        <f>'[1]Кредиты 2022'!C276</f>
        <v>-1000</v>
      </c>
      <c r="C30" s="5">
        <f>'[1]Кредиты 2022'!D276</f>
        <v>-1000</v>
      </c>
      <c r="D30" s="5">
        <f>'[1]Кредиты 2022'!E276</f>
        <v>-1000</v>
      </c>
      <c r="E30" s="5">
        <f>'[1]Кредиты 2022'!F276</f>
        <v>-1000</v>
      </c>
      <c r="F30" s="5">
        <f>'[1]Кредиты 2022'!G276</f>
        <v>-1000</v>
      </c>
      <c r="G30" s="5">
        <f>'[1]Кредиты 2022'!H276</f>
        <v>-1000</v>
      </c>
      <c r="H30" s="5">
        <f>'[1]Кредиты 2022'!I276</f>
        <v>-1000</v>
      </c>
      <c r="I30" s="5">
        <f>'[1]Кредиты 2022'!J276</f>
        <v>-1000</v>
      </c>
      <c r="J30" s="5">
        <f>'[1]Кредиты 2022'!K276</f>
        <v>-1000</v>
      </c>
      <c r="K30" s="5">
        <f>'[1]Кредиты 2022'!L276</f>
        <v>-1000</v>
      </c>
      <c r="L30" s="5">
        <f>'[1]Кредиты 2022'!M276</f>
        <v>-1000</v>
      </c>
      <c r="M30" s="5">
        <f>'[1]Кредиты 2022'!N276</f>
        <v>-1000</v>
      </c>
    </row>
    <row r="31" spans="1:13">
      <c r="A31" s="1" t="s">
        <v>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2" t="s">
        <v>13</v>
      </c>
      <c r="B32" s="5">
        <f>'[1]Кредиты 2022'!C283</f>
        <v>-4524.2519500000008</v>
      </c>
      <c r="C32" s="5">
        <f>'[1]Кредиты 2022'!D283</f>
        <v>-5745.8632662914679</v>
      </c>
      <c r="D32" s="5">
        <f>'[1]Кредиты 2022'!E283</f>
        <v>-5436.9516101737954</v>
      </c>
      <c r="E32" s="5">
        <f>'[1]Кредиты 2022'!F283</f>
        <v>-6442.6372214926068</v>
      </c>
      <c r="F32" s="5">
        <f>'[1]Кредиты 2022'!G283</f>
        <v>0</v>
      </c>
      <c r="G32" s="5">
        <f>'[1]Кредиты 2022'!H283</f>
        <v>0</v>
      </c>
      <c r="H32" s="5">
        <f>'[1]Кредиты 2022'!I283</f>
        <v>0</v>
      </c>
      <c r="I32" s="5">
        <f>'[1]Кредиты 2022'!J283</f>
        <v>0</v>
      </c>
      <c r="J32" s="5">
        <f>'[1]Кредиты 2022'!K283</f>
        <v>0</v>
      </c>
      <c r="K32" s="5">
        <f>'[1]Кредиты 2022'!L283</f>
        <v>0</v>
      </c>
      <c r="L32" s="5">
        <f>'[1]Кредиты 2022'!M283</f>
        <v>0</v>
      </c>
      <c r="M32" s="5">
        <f>'[1]Кредиты 2022'!N283</f>
        <v>0</v>
      </c>
    </row>
    <row r="33" spans="1:13">
      <c r="A33" s="2" t="s">
        <v>14</v>
      </c>
      <c r="B33" s="5">
        <f>'[1]Кредиты 2022'!C284</f>
        <v>0</v>
      </c>
      <c r="C33" s="5">
        <f>'[1]Кредиты 2022'!D284</f>
        <v>0</v>
      </c>
      <c r="D33" s="5">
        <f>'[1]Кредиты 2022'!E284</f>
        <v>0</v>
      </c>
      <c r="E33" s="5">
        <f>'[1]Кредиты 2022'!F284</f>
        <v>0</v>
      </c>
      <c r="F33" s="5">
        <f>'[1]Кредиты 2022'!G284</f>
        <v>0</v>
      </c>
      <c r="G33" s="5">
        <f>'[1]Кредиты 2022'!H284</f>
        <v>0</v>
      </c>
      <c r="H33" s="5">
        <f>'[1]Кредиты 2022'!I284</f>
        <v>0</v>
      </c>
      <c r="I33" s="5">
        <f>'[1]Кредиты 2022'!J284</f>
        <v>0</v>
      </c>
      <c r="J33" s="5">
        <f>'[1]Кредиты 2022'!K284</f>
        <v>0</v>
      </c>
      <c r="K33" s="5">
        <f>'[1]Кредиты 2022'!L284</f>
        <v>0</v>
      </c>
      <c r="L33" s="5">
        <f>'[1]Кредиты 2022'!M284</f>
        <v>0</v>
      </c>
      <c r="M33" s="5">
        <f>'[1]Кредиты 2022'!N284</f>
        <v>0</v>
      </c>
    </row>
    <row r="34" spans="1:13">
      <c r="A34" s="1" t="s">
        <v>24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A35" s="2" t="s">
        <v>13</v>
      </c>
      <c r="B35" s="5">
        <f>'[1]Кредиты 2022'!C290</f>
        <v>-13578.778149999998</v>
      </c>
      <c r="C35" s="5">
        <f>'[1]Кредиты 2022'!D290</f>
        <v>-12281.942092721183</v>
      </c>
      <c r="D35" s="5">
        <f>'[1]Кредиты 2022'!E290</f>
        <v>-13436.246624952211</v>
      </c>
      <c r="E35" s="5">
        <f>'[1]Кредиты 2022'!F290</f>
        <v>-13616.752858609223</v>
      </c>
      <c r="F35" s="5">
        <f>'[1]Кредиты 2022'!G290</f>
        <v>-14703.691222725067</v>
      </c>
      <c r="G35" s="5">
        <f>'[1]Кредиты 2022'!H290</f>
        <v>-11730.069291653755</v>
      </c>
      <c r="H35" s="5">
        <f>'[1]Кредиты 2022'!I290</f>
        <v>-11674.969053015811</v>
      </c>
      <c r="I35" s="5">
        <f>'[1]Кредиты 2022'!J290</f>
        <v>-12105.62365760606</v>
      </c>
      <c r="J35" s="5">
        <f>'[1]Кредиты 2022'!K290</f>
        <v>-12952.473880701824</v>
      </c>
      <c r="K35" s="5">
        <f>'[1]Кредиты 2022'!L290</f>
        <v>-15640.907143885172</v>
      </c>
      <c r="L35" s="5">
        <f>'[1]Кредиты 2022'!M290</f>
        <v>-15653.340193632757</v>
      </c>
      <c r="M35" s="5">
        <f>'[1]Кредиты 2022'!N290</f>
        <v>-16764.961768775833</v>
      </c>
    </row>
    <row r="36" spans="1:13">
      <c r="A36" s="2" t="s">
        <v>14</v>
      </c>
      <c r="B36" s="5">
        <f>'[1]Кредиты 2022'!C291</f>
        <v>-2500</v>
      </c>
      <c r="C36" s="5">
        <f>'[1]Кредиты 2022'!D291</f>
        <v>-2500</v>
      </c>
      <c r="D36" s="5">
        <f>'[1]Кредиты 2022'!E291</f>
        <v>-2500</v>
      </c>
      <c r="E36" s="5">
        <f>'[1]Кредиты 2022'!F291</f>
        <v>-2500</v>
      </c>
      <c r="F36" s="5">
        <f>'[1]Кредиты 2022'!G291</f>
        <v>-2500</v>
      </c>
      <c r="G36" s="5">
        <f>'[1]Кредиты 2022'!H291</f>
        <v>-2500</v>
      </c>
      <c r="H36" s="5">
        <f>'[1]Кредиты 2022'!I291</f>
        <v>-2500</v>
      </c>
      <c r="I36" s="5">
        <f>'[1]Кредиты 2022'!J291</f>
        <v>-2500</v>
      </c>
      <c r="J36" s="5">
        <f>'[1]Кредиты 2022'!K291</f>
        <v>-2500</v>
      </c>
      <c r="K36" s="5">
        <f>'[1]Кредиты 2022'!L291</f>
        <v>-2500</v>
      </c>
      <c r="L36" s="5">
        <f>'[1]Кредиты 2022'!M291</f>
        <v>-2500</v>
      </c>
      <c r="M36" s="5">
        <f>'[1]Кредиты 2022'!N291</f>
        <v>-2500</v>
      </c>
    </row>
    <row r="37" spans="1:13">
      <c r="A37" s="1" t="s">
        <v>25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2" t="s">
        <v>13</v>
      </c>
      <c r="B38" s="5">
        <f>'[1]Кредиты 2022'!C297</f>
        <v>0</v>
      </c>
      <c r="C38" s="5">
        <f>'[1]Кредиты 2022'!D297</f>
        <v>0</v>
      </c>
      <c r="D38" s="5">
        <f>'[1]Кредиты 2022'!E297</f>
        <v>0</v>
      </c>
      <c r="E38" s="5">
        <f>'[1]Кредиты 2022'!F297</f>
        <v>0</v>
      </c>
      <c r="F38" s="5">
        <f>'[1]Кредиты 2022'!G297</f>
        <v>0</v>
      </c>
      <c r="G38" s="5">
        <f>'[1]Кредиты 2022'!H297</f>
        <v>-1723.2717274159081</v>
      </c>
      <c r="H38" s="5">
        <f>'[1]Кредиты 2022'!I297</f>
        <v>-3463.1473603468689</v>
      </c>
      <c r="I38" s="5">
        <f>'[1]Кредиты 2022'!J297</f>
        <v>-4371.4309318031492</v>
      </c>
      <c r="J38" s="5">
        <f>'[1]Кредиты 2022'!K297</f>
        <v>-4392.4927834612035</v>
      </c>
      <c r="K38" s="5">
        <f>'[1]Кредиты 2022'!L297</f>
        <v>-4413.6572450522372</v>
      </c>
      <c r="L38" s="5">
        <f>'[1]Кредиты 2022'!M297</f>
        <v>-4456.9891252591897</v>
      </c>
      <c r="M38" s="5">
        <f>'[1]Кредиты 2022'!N297</f>
        <v>-4500.7475804921514</v>
      </c>
    </row>
    <row r="39" spans="1:13">
      <c r="A39" s="2" t="s">
        <v>14</v>
      </c>
      <c r="B39" s="5">
        <f>'[1]Кредиты 2022'!C298</f>
        <v>0</v>
      </c>
      <c r="C39" s="5">
        <f>'[1]Кредиты 2022'!D298</f>
        <v>0</v>
      </c>
      <c r="D39" s="5">
        <f>'[1]Кредиты 2022'!E298</f>
        <v>0</v>
      </c>
      <c r="E39" s="5">
        <f>'[1]Кредиты 2022'!F298</f>
        <v>0</v>
      </c>
      <c r="F39" s="5">
        <f>'[1]Кредиты 2022'!G298</f>
        <v>0</v>
      </c>
      <c r="G39" s="5">
        <f>'[1]Кредиты 2022'!H298</f>
        <v>0</v>
      </c>
      <c r="H39" s="5">
        <f>'[1]Кредиты 2022'!I298</f>
        <v>0</v>
      </c>
      <c r="I39" s="5">
        <f>'[1]Кредиты 2022'!J298</f>
        <v>0</v>
      </c>
      <c r="J39" s="5">
        <f>'[1]Кредиты 2022'!K298</f>
        <v>0</v>
      </c>
      <c r="K39" s="5">
        <f>'[1]Кредиты 2022'!L298</f>
        <v>0</v>
      </c>
      <c r="L39" s="5">
        <f>'[1]Кредиты 2022'!M298</f>
        <v>0</v>
      </c>
      <c r="M39" s="5">
        <f>'[1]Кредиты 2022'!N298</f>
        <v>0</v>
      </c>
    </row>
  </sheetData>
  <autoFilter ref="A1:A59" xr:uid="{00000000-0009-0000-0000-000000000000}"/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workbookViewId="0">
      <selection activeCell="H16" sqref="H16"/>
    </sheetView>
  </sheetViews>
  <sheetFormatPr defaultColWidth="9.140625" defaultRowHeight="15"/>
  <cols>
    <col min="1" max="1" width="19" customWidth="1"/>
    <col min="2" max="2" width="10.5703125" customWidth="1"/>
    <col min="3" max="3" width="10.140625" customWidth="1"/>
    <col min="4" max="4" width="16.140625" style="34" customWidth="1"/>
    <col min="5" max="5" width="12.7109375" customWidth="1"/>
    <col min="6" max="6" width="10" customWidth="1"/>
    <col min="7" max="7" width="9.85546875" style="21" customWidth="1"/>
    <col min="8" max="8" width="9.5703125" style="21" customWidth="1"/>
    <col min="9" max="9" width="9.28515625" bestFit="1" customWidth="1"/>
    <col min="13" max="14" width="9.28515625" bestFit="1" customWidth="1"/>
  </cols>
  <sheetData>
    <row r="1" spans="1:16" ht="21.75" customHeight="1">
      <c r="A1" s="4"/>
      <c r="B1" s="4" t="s">
        <v>29</v>
      </c>
      <c r="C1" s="4" t="s">
        <v>30</v>
      </c>
      <c r="D1" s="33" t="s">
        <v>31</v>
      </c>
      <c r="F1" s="8" t="s">
        <v>32</v>
      </c>
      <c r="G1" s="19" t="s">
        <v>33</v>
      </c>
      <c r="H1" s="19"/>
      <c r="I1" t="s">
        <v>34</v>
      </c>
      <c r="J1">
        <v>8</v>
      </c>
    </row>
    <row r="2" spans="1:16">
      <c r="A2" s="4"/>
      <c r="B2" s="5"/>
      <c r="C2" s="5"/>
      <c r="D2" s="16"/>
      <c r="E2" s="3"/>
      <c r="F2" s="3"/>
      <c r="G2" s="16"/>
      <c r="H2" s="16"/>
      <c r="I2" s="3"/>
      <c r="J2" s="3"/>
    </row>
    <row r="3" spans="1:16">
      <c r="A3" s="1" t="s">
        <v>12</v>
      </c>
      <c r="B3" s="5"/>
      <c r="C3" s="5"/>
      <c r="D3" s="16"/>
      <c r="E3" s="3"/>
      <c r="F3" s="3" t="s">
        <v>35</v>
      </c>
      <c r="G3" s="16"/>
      <c r="H3" s="16"/>
      <c r="I3" s="3"/>
      <c r="J3" s="3"/>
    </row>
    <row r="4" spans="1:16" ht="17.25">
      <c r="A4" s="2" t="s">
        <v>13</v>
      </c>
      <c r="B4" s="5">
        <f>-SUMIF(план!$B$2:$M$2,1,план!B5:M5)</f>
        <v>13341.596623905476</v>
      </c>
      <c r="C4" s="5">
        <f>SUMIF(факт!$B$2:$M$2,1,факт!B5:M5)</f>
        <v>16110</v>
      </c>
      <c r="D4" s="16">
        <f>C4-B4</f>
        <v>2768.403376094524</v>
      </c>
      <c r="E4" s="3">
        <f>544+2856</f>
        <v>3400</v>
      </c>
      <c r="F4" s="15">
        <v>1638</v>
      </c>
      <c r="G4" s="22">
        <f>F4-'[2]план-факт'!D4</f>
        <v>-2720.5445643374605</v>
      </c>
      <c r="H4" s="20">
        <f>D4+'Выборка агентских май'!E2</f>
        <v>8592.716312030303</v>
      </c>
      <c r="I4" s="12" t="s">
        <v>36</v>
      </c>
      <c r="J4" s="3"/>
      <c r="M4" s="41">
        <f>[3]накопительно!$D$10/[3]накопительно!$C$10</f>
        <v>1.2578670451683207</v>
      </c>
      <c r="O4">
        <f>C4/B4</f>
        <v>1.2075016547220516</v>
      </c>
    </row>
    <row r="5" spans="1:16">
      <c r="A5" s="2" t="s">
        <v>14</v>
      </c>
      <c r="B5" s="5">
        <f>-SUMIF(план!$B$2:$M$2,1,план!B6:M6)</f>
        <v>0</v>
      </c>
      <c r="C5" s="5">
        <f>SUMIF(факт!$B$2:$M$2,1,факт!B6:M6)</f>
        <v>0</v>
      </c>
      <c r="D5" s="16">
        <f t="shared" ref="D5:D38" si="0">C5-B5</f>
        <v>0</v>
      </c>
      <c r="E5" s="3"/>
      <c r="F5" s="3"/>
      <c r="G5" s="20">
        <f>F5-'[2]план-факт'!D5</f>
        <v>0</v>
      </c>
      <c r="H5" s="20"/>
      <c r="I5" s="3"/>
      <c r="J5" s="3"/>
    </row>
    <row r="6" spans="1:16">
      <c r="A6" s="1" t="s">
        <v>15</v>
      </c>
      <c r="B6" s="5"/>
      <c r="C6" s="5"/>
      <c r="D6" s="16"/>
      <c r="E6" s="3"/>
      <c r="F6" s="3"/>
      <c r="G6" s="20">
        <f>F6-'[2]план-факт'!D6</f>
        <v>0</v>
      </c>
      <c r="H6" s="20"/>
      <c r="I6" s="3"/>
      <c r="J6" s="3"/>
    </row>
    <row r="7" spans="1:16" ht="17.25">
      <c r="A7" s="2" t="s">
        <v>13</v>
      </c>
      <c r="B7" s="5">
        <f>-SUMIF(план!$B$2:$M$2,1,план!B8:M8)</f>
        <v>46316.303180997784</v>
      </c>
      <c r="C7" s="5">
        <f>SUMIF(факт!$B$2:$M$2,1,факт!B8:M8)</f>
        <v>37892</v>
      </c>
      <c r="D7" s="16">
        <f t="shared" si="0"/>
        <v>-8424.3031809977838</v>
      </c>
      <c r="E7" s="3">
        <f>3897+8696+859</f>
        <v>13452</v>
      </c>
      <c r="F7" s="15">
        <v>6514</v>
      </c>
      <c r="G7" s="18">
        <f>F7-'[2]план-факт'!D7</f>
        <v>115.81679566398816</v>
      </c>
      <c r="H7" s="20">
        <f>D7+'Выборка агентских май'!E3</f>
        <v>-6969.8814606618835</v>
      </c>
      <c r="I7" s="47" t="s">
        <v>37</v>
      </c>
      <c r="J7" s="47"/>
      <c r="K7" s="47"/>
      <c r="L7" s="47"/>
      <c r="M7" s="47"/>
      <c r="N7" s="41">
        <f>([3]накопительно!$D$15+[3]накопительно!$D$16)/([3]накопительно!$C$15+[3]накопительно!$C$16)</f>
        <v>0.9182171636198766</v>
      </c>
      <c r="P7">
        <f>C7/B7</f>
        <v>0.81811365324048513</v>
      </c>
    </row>
    <row r="8" spans="1:16">
      <c r="A8" s="2" t="s">
        <v>14</v>
      </c>
      <c r="B8" s="5">
        <f>-SUMIF(план!$B$2:$M$2,1,план!B9:M9)</f>
        <v>14000</v>
      </c>
      <c r="C8" s="5">
        <f>SUMIF(факт!$B$2:$M$2,1,факт!B9:M9)</f>
        <v>13076</v>
      </c>
      <c r="D8" s="16">
        <f t="shared" si="0"/>
        <v>-924</v>
      </c>
      <c r="E8" s="3">
        <v>1188</v>
      </c>
      <c r="F8" s="15">
        <f>факт!E9</f>
        <v>1421</v>
      </c>
      <c r="G8" s="18">
        <f>F8-'[2]план-факт'!D8</f>
        <v>-20</v>
      </c>
      <c r="H8" s="20"/>
      <c r="I8" s="3"/>
      <c r="J8" s="3"/>
    </row>
    <row r="9" spans="1:16">
      <c r="A9" s="1" t="s">
        <v>16</v>
      </c>
      <c r="B9" s="5"/>
      <c r="C9" s="5"/>
      <c r="D9" s="16"/>
      <c r="E9" s="3"/>
      <c r="F9" s="7"/>
      <c r="G9" s="20">
        <f>F9-'[2]план-факт'!D9</f>
        <v>0</v>
      </c>
      <c r="H9" s="20"/>
      <c r="I9" s="3"/>
      <c r="J9" s="3"/>
    </row>
    <row r="10" spans="1:16">
      <c r="A10" s="2" t="s">
        <v>13</v>
      </c>
      <c r="B10" s="5">
        <f>-SUMIF(план!$B$2:$M$2,1,план!B11:M11)</f>
        <v>3.1499999999999996E-3</v>
      </c>
      <c r="C10" s="5">
        <f>SUMIF(факт!$B$2:$M$2,1,факт!B11:M11)</f>
        <v>0</v>
      </c>
      <c r="D10" s="16">
        <f t="shared" si="0"/>
        <v>-3.1499999999999996E-3</v>
      </c>
      <c r="E10" s="3"/>
      <c r="F10" s="7"/>
      <c r="G10" s="20">
        <f>F10-'[2]план-факт'!D10</f>
        <v>-1.3500000000000001E-3</v>
      </c>
      <c r="H10" s="20"/>
      <c r="I10" s="3"/>
      <c r="J10" s="3"/>
    </row>
    <row r="11" spans="1:16">
      <c r="A11" s="2" t="s">
        <v>14</v>
      </c>
      <c r="B11" s="5">
        <f>-SUMIF(план!$B$2:$M$2,1,план!B12:M12)</f>
        <v>2000</v>
      </c>
      <c r="C11" s="5">
        <f>SUMIF(факт!$B$2:$M$2,1,факт!B12:M12)</f>
        <v>0</v>
      </c>
      <c r="D11" s="16">
        <f t="shared" si="0"/>
        <v>-2000</v>
      </c>
      <c r="E11" s="3"/>
      <c r="F11" s="7"/>
      <c r="G11" s="20">
        <f>F11-'[2]план-факт'!D11</f>
        <v>0</v>
      </c>
      <c r="H11" s="20"/>
      <c r="I11" s="3"/>
      <c r="J11" s="3"/>
    </row>
    <row r="12" spans="1:16">
      <c r="A12" s="1" t="s">
        <v>17</v>
      </c>
      <c r="B12" s="5"/>
      <c r="C12" s="5"/>
      <c r="D12" s="16"/>
      <c r="E12" s="3"/>
      <c r="F12" s="7"/>
      <c r="G12" s="20">
        <f>F12-'[2]план-факт'!D12</f>
        <v>0</v>
      </c>
      <c r="H12" s="20"/>
      <c r="I12" s="3"/>
      <c r="J12" s="3"/>
    </row>
    <row r="13" spans="1:16" ht="17.25">
      <c r="A13" s="2" t="s">
        <v>13</v>
      </c>
      <c r="B13" s="5">
        <f>-SUMIF(план!$B$2:$M$2,1,план!B14:M14)</f>
        <v>9609.0602083647609</v>
      </c>
      <c r="C13" s="5">
        <f>SUMIF(факт!$B$2:$M$2,1,факт!B14:M14)</f>
        <v>17500</v>
      </c>
      <c r="D13" s="16">
        <f t="shared" si="0"/>
        <v>7890.9397916352391</v>
      </c>
      <c r="E13" s="9">
        <f>2185+1180</f>
        <v>3365</v>
      </c>
      <c r="F13" s="15">
        <v>2583</v>
      </c>
      <c r="G13" s="18">
        <f>F13-'[2]план-факт'!D13</f>
        <v>-404.94000000000005</v>
      </c>
      <c r="H13" s="20">
        <f>D13+'Выборка агентских май'!E4</f>
        <v>9738.7703611188026</v>
      </c>
      <c r="I13" s="12" t="s">
        <v>38</v>
      </c>
      <c r="J13" s="3"/>
      <c r="M13" s="41">
        <f>[3]накопительно!$D$6/[3]накопительно!$C$6</f>
        <v>1.4708738897454994</v>
      </c>
      <c r="O13">
        <f>C13/B13</f>
        <v>1.8211978716468147</v>
      </c>
    </row>
    <row r="14" spans="1:16">
      <c r="A14" s="2" t="s">
        <v>14</v>
      </c>
      <c r="B14" s="5">
        <f>-SUMIF(план!$B$2:$M$2,1,план!B15:M15)</f>
        <v>10383.851998000129</v>
      </c>
      <c r="C14" s="5">
        <f>SUMIF(факт!$B$2:$M$2,1,факт!B15:M15)</f>
        <v>24665</v>
      </c>
      <c r="D14" s="16">
        <f t="shared" si="0"/>
        <v>14281.148001999871</v>
      </c>
      <c r="E14" s="3">
        <v>5890</v>
      </c>
      <c r="F14" s="15">
        <f>факт!E15</f>
        <v>7998</v>
      </c>
      <c r="G14" s="23">
        <f>F14-'[2]план-факт'!D14</f>
        <v>7998</v>
      </c>
      <c r="H14" s="20"/>
      <c r="I14" s="3"/>
      <c r="J14" s="3"/>
    </row>
    <row r="15" spans="1:16">
      <c r="A15" s="1" t="s">
        <v>18</v>
      </c>
      <c r="B15" s="5"/>
      <c r="C15" s="5"/>
      <c r="D15" s="16"/>
      <c r="E15" s="3"/>
      <c r="F15" s="7"/>
      <c r="G15" s="20">
        <f>F15-'[2]план-факт'!D15</f>
        <v>0</v>
      </c>
      <c r="H15" s="20"/>
      <c r="I15" s="3"/>
      <c r="J15" s="3"/>
    </row>
    <row r="16" spans="1:16" ht="17.25">
      <c r="A16" s="2" t="s">
        <v>13</v>
      </c>
      <c r="B16" s="5">
        <f>-SUMIF(план!$B$2:$M$2,1,план!B17:M17)</f>
        <v>43417.232327842685</v>
      </c>
      <c r="C16" s="5">
        <f>SUMIF(факт!$B$2:$M$2,1,факт!B17:M17)</f>
        <v>38021</v>
      </c>
      <c r="D16" s="16">
        <f t="shared" si="0"/>
        <v>-5396.2323278426848</v>
      </c>
      <c r="E16" s="9">
        <v>1768</v>
      </c>
      <c r="F16" s="15">
        <v>3837</v>
      </c>
      <c r="G16" s="22">
        <f>F16-'[2]план-факт'!D16</f>
        <v>-9105.8217975360276</v>
      </c>
      <c r="H16" s="20">
        <f>D16+'Выборка агентских май'!E5</f>
        <v>-647.78889669638647</v>
      </c>
      <c r="I16" s="12" t="s">
        <v>36</v>
      </c>
      <c r="J16" s="3"/>
      <c r="M16" s="41">
        <f>[3]накопительно!$D$7/[3]накопительно!$C$7</f>
        <v>1.4825046529879804</v>
      </c>
      <c r="N16" s="3"/>
      <c r="O16">
        <f>C16/B16</f>
        <v>0.87571219908501219</v>
      </c>
    </row>
    <row r="17" spans="1:15">
      <c r="A17" s="2" t="s">
        <v>14</v>
      </c>
      <c r="B17" s="5">
        <f>-SUMIF(план!$B$2:$M$2,1,план!B18:M18)</f>
        <v>20607.663084072177</v>
      </c>
      <c r="C17" s="5">
        <f>SUMIF(факт!$B$2:$M$2,1,факт!B18:M18)</f>
        <v>36912</v>
      </c>
      <c r="D17" s="16">
        <f t="shared" si="0"/>
        <v>16304.336915927823</v>
      </c>
      <c r="E17" s="3"/>
      <c r="F17" s="7"/>
      <c r="G17" s="23">
        <f>F17-'[2]план-факт'!D17</f>
        <v>-6867.0000000000018</v>
      </c>
      <c r="H17" s="20"/>
      <c r="I17" s="3"/>
      <c r="J17" s="3"/>
    </row>
    <row r="18" spans="1:15">
      <c r="A18" s="1" t="s">
        <v>19</v>
      </c>
      <c r="B18" s="5"/>
      <c r="C18" s="5"/>
      <c r="D18" s="16"/>
      <c r="E18" s="3"/>
      <c r="F18" s="7"/>
      <c r="G18" s="20">
        <f>F18-'[2]план-факт'!D18</f>
        <v>0</v>
      </c>
      <c r="H18" s="20"/>
      <c r="I18" s="3"/>
      <c r="J18" s="3"/>
    </row>
    <row r="19" spans="1:15">
      <c r="A19" s="2" t="s">
        <v>13</v>
      </c>
      <c r="B19" s="5">
        <f>-SUMIF(план!$B$2:$M$2,1,план!B20:M20)</f>
        <v>73012.701675064629</v>
      </c>
      <c r="C19" s="5">
        <f>SUMIF(факт!$B$2:$M$2,1,факт!B20:M20)</f>
        <v>26534</v>
      </c>
      <c r="D19" s="16">
        <f t="shared" si="0"/>
        <v>-46478.701675064629</v>
      </c>
      <c r="E19" s="9">
        <f>2134+9781</f>
        <v>11915</v>
      </c>
      <c r="F19" s="15">
        <v>7068</v>
      </c>
      <c r="G19" s="18">
        <f>F19-'[2]план-факт'!D19</f>
        <v>3142.1730642880393</v>
      </c>
      <c r="H19" s="20">
        <f>D19+'Выборка агентских май'!E6</f>
        <v>-45781.885093834659</v>
      </c>
      <c r="I19" s="13" t="s">
        <v>39</v>
      </c>
      <c r="J19" s="3"/>
      <c r="M19" s="41">
        <f>[3]накопительно!$D$8/[3]накопительно!$C$8</f>
        <v>0.35979008205347696</v>
      </c>
      <c r="O19">
        <f>C19/B19</f>
        <v>0.36341621925027218</v>
      </c>
    </row>
    <row r="20" spans="1:15">
      <c r="A20" s="2" t="s">
        <v>14</v>
      </c>
      <c r="B20" s="5">
        <f>-SUMIF(план!$B$2:$M$2,1,план!B21:M21)</f>
        <v>42023.143541640173</v>
      </c>
      <c r="C20" s="5">
        <f>SUMIF(факт!$B$2:$M$2,1,факт!B21:M21)</f>
        <v>16760</v>
      </c>
      <c r="D20" s="16">
        <f t="shared" si="0"/>
        <v>-25263.143541640173</v>
      </c>
      <c r="E20" s="3"/>
      <c r="F20" s="7">
        <f>факт!E21</f>
        <v>2489</v>
      </c>
      <c r="G20" s="22">
        <f>F20-'[2]план-факт'!D20</f>
        <v>-4378.0000000000018</v>
      </c>
      <c r="H20" s="20"/>
      <c r="I20" s="3"/>
      <c r="J20" s="3"/>
    </row>
    <row r="21" spans="1:15">
      <c r="A21" s="1" t="s">
        <v>20</v>
      </c>
      <c r="B21" s="5"/>
      <c r="C21" s="5"/>
      <c r="D21" s="16"/>
      <c r="E21" s="3"/>
      <c r="F21" s="7"/>
      <c r="G21" s="20">
        <f>F21-'[2]план-факт'!D21</f>
        <v>0</v>
      </c>
      <c r="H21" s="20"/>
      <c r="I21" s="3"/>
      <c r="J21" s="3" t="s">
        <v>40</v>
      </c>
      <c r="M21" s="44"/>
      <c r="O21">
        <f>(C13+C16+C19)/(B13+B16+B19)</f>
        <v>0.65102867976283452</v>
      </c>
    </row>
    <row r="22" spans="1:15">
      <c r="A22" s="2" t="s">
        <v>13</v>
      </c>
      <c r="B22" s="5">
        <f>-SUMIF(план!$B$2:$M$2,1,план!B23:M23)</f>
        <v>0</v>
      </c>
      <c r="C22" s="5">
        <f>SUMIF(факт!$B$2:$M$2,1,факт!B23:M23)</f>
        <v>0</v>
      </c>
      <c r="D22" s="16">
        <f t="shared" si="0"/>
        <v>0</v>
      </c>
      <c r="E22" s="3"/>
      <c r="F22" s="7"/>
      <c r="G22" s="20">
        <f>F22-'[2]план-факт'!D22</f>
        <v>0</v>
      </c>
      <c r="H22" s="20"/>
      <c r="I22" s="3"/>
      <c r="J22" s="3"/>
    </row>
    <row r="23" spans="1:15">
      <c r="A23" s="2" t="s">
        <v>14</v>
      </c>
      <c r="B23" s="5">
        <f>-SUMIF(план!$B$2:$M$2,1,план!B24:M24)</f>
        <v>0</v>
      </c>
      <c r="C23" s="5">
        <f>SUMIF(факт!$B$2:$M$2,1,факт!B24:M24)</f>
        <v>0</v>
      </c>
      <c r="D23" s="16">
        <f t="shared" si="0"/>
        <v>0</v>
      </c>
      <c r="E23" s="3"/>
      <c r="F23" s="7"/>
      <c r="G23" s="20">
        <f>F23-'[2]план-факт'!D23</f>
        <v>0</v>
      </c>
      <c r="H23" s="20"/>
      <c r="I23" s="3"/>
      <c r="J23" s="3"/>
    </row>
    <row r="24" spans="1:15">
      <c r="A24" s="1" t="s">
        <v>21</v>
      </c>
      <c r="B24" s="5"/>
      <c r="C24" s="5"/>
      <c r="D24" s="16"/>
      <c r="E24" s="3"/>
      <c r="F24" s="7"/>
      <c r="G24" s="20">
        <f>F24-'[2]план-факт'!D24</f>
        <v>0</v>
      </c>
      <c r="H24" s="20"/>
      <c r="I24" s="3"/>
      <c r="J24" s="3"/>
    </row>
    <row r="25" spans="1:15">
      <c r="A25" s="2" t="s">
        <v>13</v>
      </c>
      <c r="B25" s="5">
        <f>-SUMIF(план!$B$2:$M$2,1,план!B26:M26)</f>
        <v>29385.304224661173</v>
      </c>
      <c r="C25" s="5">
        <f>SUMIF(факт!$B$2:$M$2,1,факт!B26:M26)</f>
        <v>37030</v>
      </c>
      <c r="D25" s="16">
        <f t="shared" si="0"/>
        <v>7644.6957753388269</v>
      </c>
      <c r="E25" s="9">
        <f>4013+8991</f>
        <v>13004</v>
      </c>
      <c r="F25" s="15">
        <v>2361</v>
      </c>
      <c r="G25" s="22">
        <f>F25-'[2]план-факт'!D25</f>
        <v>-2163.3513550014113</v>
      </c>
      <c r="H25" s="20">
        <f>D25+'Выборка агентских май'!E7</f>
        <v>10652.474975338828</v>
      </c>
      <c r="I25" s="11" t="s">
        <v>41</v>
      </c>
      <c r="J25" s="3"/>
      <c r="M25" s="41">
        <f>[3]накопительно!$D$12/[3]накопительно!$C$12</f>
        <v>0.99545500105934315</v>
      </c>
      <c r="O25">
        <f>C25/B25</f>
        <v>1.2601537052974641</v>
      </c>
    </row>
    <row r="26" spans="1:15">
      <c r="A26" s="2" t="s">
        <v>14</v>
      </c>
      <c r="B26" s="5">
        <f>-SUMIF(план!$B$2:$M$2,1,план!B27:M27)</f>
        <v>8000</v>
      </c>
      <c r="C26" s="5">
        <f>SUMIF(факт!$B$2:$M$2,1,факт!B27:M27)</f>
        <v>21650</v>
      </c>
      <c r="D26" s="16">
        <f t="shared" si="0"/>
        <v>13650</v>
      </c>
      <c r="E26" s="9">
        <v>2142</v>
      </c>
      <c r="F26" s="15">
        <f>факт!E27</f>
        <v>2592</v>
      </c>
      <c r="G26" s="23">
        <f>F26-'[2]план-факт'!D26</f>
        <v>2592</v>
      </c>
      <c r="H26" s="20"/>
      <c r="I26" s="3"/>
      <c r="J26" s="3"/>
    </row>
    <row r="27" spans="1:15">
      <c r="A27" s="1" t="s">
        <v>22</v>
      </c>
      <c r="B27" s="5"/>
      <c r="C27" s="5"/>
      <c r="D27" s="16"/>
      <c r="E27" s="3"/>
      <c r="F27" s="7"/>
      <c r="G27" s="20">
        <f>F27-'[2]план-факт'!D27</f>
        <v>0</v>
      </c>
      <c r="H27" s="20"/>
      <c r="I27" s="3"/>
      <c r="J27" s="3"/>
    </row>
    <row r="28" spans="1:15">
      <c r="A28" s="2" t="s">
        <v>13</v>
      </c>
      <c r="B28" s="5">
        <f>-SUMIF(план!$B$2:$M$2,1,план!B29:M29)</f>
        <v>13120.493612754803</v>
      </c>
      <c r="C28" s="5">
        <f>SUMIF(факт!$B$2:$M$2,1,факт!B29:M29)</f>
        <v>9645</v>
      </c>
      <c r="D28" s="16">
        <f t="shared" si="0"/>
        <v>-3475.4936127548026</v>
      </c>
      <c r="E28" s="3">
        <v>863</v>
      </c>
      <c r="F28" s="15">
        <v>275</v>
      </c>
      <c r="G28" s="18">
        <f>F28-'[2]план-факт'!D28</f>
        <v>-13.555177162334871</v>
      </c>
      <c r="H28" s="20">
        <f>D28+'Выборка агентских май'!E8</f>
        <v>-3284.54800903253</v>
      </c>
      <c r="I28" s="11" t="s">
        <v>39</v>
      </c>
      <c r="J28" s="3"/>
      <c r="M28" s="41">
        <f>[3]накопительно!$D$11/[3]накопительно!$C$11</f>
        <v>0.38007556130883402</v>
      </c>
      <c r="O28">
        <f>C28/B28</f>
        <v>0.73510953815211821</v>
      </c>
    </row>
    <row r="29" spans="1:15">
      <c r="A29" s="2" t="s">
        <v>14</v>
      </c>
      <c r="B29" s="5">
        <f>-SUMIF(план!$B$2:$M$2,1,план!B30:M30)</f>
        <v>8000</v>
      </c>
      <c r="C29" s="5">
        <f>SUMIF(факт!$B$2:$M$2,1,факт!B30:M30)</f>
        <v>0</v>
      </c>
      <c r="D29" s="16">
        <f t="shared" si="0"/>
        <v>-8000</v>
      </c>
      <c r="E29" s="3"/>
      <c r="F29" s="7"/>
      <c r="G29" s="23">
        <f>F29-'[2]план-факт'!D29</f>
        <v>-2800</v>
      </c>
      <c r="H29" s="20"/>
      <c r="I29" s="3"/>
      <c r="J29" s="3"/>
    </row>
    <row r="30" spans="1:15">
      <c r="A30" s="1" t="s">
        <v>23</v>
      </c>
      <c r="B30" s="5"/>
      <c r="C30" s="5"/>
      <c r="D30" s="16"/>
      <c r="E30" s="3"/>
      <c r="F30" s="7"/>
      <c r="G30" s="20">
        <f>F30-'[2]план-факт'!D30</f>
        <v>0</v>
      </c>
      <c r="H30" s="20"/>
      <c r="I30" s="3"/>
      <c r="J30" s="3"/>
    </row>
    <row r="31" spans="1:15">
      <c r="A31" s="2" t="s">
        <v>13</v>
      </c>
      <c r="B31" s="5">
        <f>-SUMIF(план!$B$2:$M$2,1,план!B32:M32)</f>
        <v>22149.704047957872</v>
      </c>
      <c r="C31" s="5">
        <f>SUMIF(факт!$B$2:$M$2,1,факт!B32:M32)</f>
        <v>47809</v>
      </c>
      <c r="D31" s="16">
        <f t="shared" si="0"/>
        <v>25659.295952042128</v>
      </c>
      <c r="E31" s="3">
        <v>4478</v>
      </c>
      <c r="F31" s="15">
        <v>2878</v>
      </c>
      <c r="G31" s="22">
        <f>F31-'[2]план-факт'!D31</f>
        <v>-20346.352160000002</v>
      </c>
      <c r="H31" s="20">
        <f>D31+'Выборка агентских май'!E9</f>
        <v>60181.238513686862</v>
      </c>
      <c r="I31" s="11" t="s">
        <v>39</v>
      </c>
      <c r="J31" s="3"/>
      <c r="M31" s="41">
        <f>[3]накопительно!$D$17/[3]накопительно!$C$17</f>
        <v>1.9350657110248133</v>
      </c>
      <c r="O31">
        <f>C31/B31</f>
        <v>2.1584487041671254</v>
      </c>
    </row>
    <row r="32" spans="1:15">
      <c r="A32" s="2" t="s">
        <v>14</v>
      </c>
      <c r="B32" s="5">
        <f>-SUMIF(план!$B$2:$M$2,1,план!B33:M33)</f>
        <v>0</v>
      </c>
      <c r="C32" s="5">
        <f>SUMIF(факт!$B$2:$M$2,1,факт!B33:M33)</f>
        <v>32269</v>
      </c>
      <c r="D32" s="16">
        <f t="shared" si="0"/>
        <v>32269</v>
      </c>
      <c r="E32" s="3"/>
      <c r="F32" s="7"/>
      <c r="G32" s="20">
        <f>F32-'[2]план-факт'!D32</f>
        <v>0</v>
      </c>
      <c r="H32" s="20"/>
      <c r="I32" s="3"/>
      <c r="J32" s="3"/>
    </row>
    <row r="33" spans="1:15">
      <c r="A33" s="1" t="s">
        <v>24</v>
      </c>
      <c r="B33" s="5"/>
      <c r="C33" s="5"/>
      <c r="D33" s="16"/>
      <c r="E33" s="3"/>
      <c r="F33" s="7"/>
      <c r="G33" s="20">
        <f>F33-'[2]план-факт'!D33</f>
        <v>0</v>
      </c>
      <c r="H33" s="20"/>
      <c r="I33" s="3"/>
      <c r="J33" s="3"/>
    </row>
    <row r="34" spans="1:15">
      <c r="A34" s="2" t="s">
        <v>13</v>
      </c>
      <c r="B34" s="5">
        <f>-SUMIF(план!$B$2:$M$2,1,план!B35:M35)</f>
        <v>103128.07295128331</v>
      </c>
      <c r="C34" s="5">
        <f>SUMIF(факт!$B$2:$M$2,1,факт!B35:M35)</f>
        <v>61158</v>
      </c>
      <c r="D34" s="16">
        <f t="shared" si="0"/>
        <v>-41970.072951283306</v>
      </c>
      <c r="E34" s="3">
        <f>8194+3763</f>
        <v>11957</v>
      </c>
      <c r="F34" s="15">
        <v>1562</v>
      </c>
      <c r="G34" s="22">
        <f>F34-'[2]план-факт'!D34</f>
        <v>-12990.973899999999</v>
      </c>
      <c r="H34" s="20">
        <f>D34+'Выборка агентских май'!E10</f>
        <v>-35104.550655868967</v>
      </c>
      <c r="I34" s="11" t="s">
        <v>42</v>
      </c>
      <c r="J34" s="3"/>
      <c r="M34" s="41">
        <f>[3]накопительно!$D$18/[3]накопительно!$C$18</f>
        <v>0.65214815610696708</v>
      </c>
      <c r="O34">
        <f>C34/B34</f>
        <v>0.5930296014441232</v>
      </c>
    </row>
    <row r="35" spans="1:15">
      <c r="A35" s="2" t="s">
        <v>14</v>
      </c>
      <c r="B35" s="5">
        <f>-SUMIF(план!$B$2:$M$2,1,план!B36:M36)</f>
        <v>20000</v>
      </c>
      <c r="C35" s="5">
        <f>SUMIF(факт!$B$2:$M$2,1,факт!B36:M36)</f>
        <v>35723</v>
      </c>
      <c r="D35" s="16">
        <f t="shared" si="0"/>
        <v>15723</v>
      </c>
      <c r="E35" s="3">
        <v>8510</v>
      </c>
      <c r="F35" s="7"/>
      <c r="G35" s="22">
        <f>F35-'[2]план-факт'!D35</f>
        <v>-6016</v>
      </c>
      <c r="H35" s="20"/>
      <c r="I35" s="3"/>
      <c r="J35" s="3"/>
    </row>
    <row r="36" spans="1:15">
      <c r="A36" s="1" t="s">
        <v>25</v>
      </c>
      <c r="B36" s="5"/>
      <c r="C36" s="5"/>
      <c r="D36" s="16"/>
      <c r="E36" s="3"/>
      <c r="F36" s="7"/>
      <c r="G36" s="20"/>
      <c r="H36" s="20"/>
      <c r="I36" s="3"/>
      <c r="J36" s="3"/>
    </row>
    <row r="37" spans="1:15">
      <c r="A37" s="2" t="s">
        <v>13</v>
      </c>
      <c r="B37" s="5">
        <f>-SUMIF(план!$B$2:$M$2,1,план!B38:M38)</f>
        <v>9557.8500195659253</v>
      </c>
      <c r="C37" s="5">
        <f>SUMIF(факт!$B$2:$M$2,1,факт!B38:M38)</f>
        <v>0</v>
      </c>
      <c r="D37" s="16">
        <f t="shared" si="0"/>
        <v>-9557.8500195659253</v>
      </c>
      <c r="E37" s="3"/>
      <c r="F37" s="7"/>
      <c r="G37" s="20"/>
      <c r="H37" s="20"/>
      <c r="I37" s="3"/>
      <c r="J37" s="3"/>
    </row>
    <row r="38" spans="1:15">
      <c r="A38" s="2" t="s">
        <v>14</v>
      </c>
      <c r="B38" s="5">
        <f>-SUMIF(план!$B$2:$M$2,1,план!B39:M39)</f>
        <v>0</v>
      </c>
      <c r="C38" s="5">
        <f>SUMIF(факт!$B$2:$M$2,1,факт!B39:M39)</f>
        <v>0</v>
      </c>
      <c r="D38" s="16">
        <f t="shared" si="0"/>
        <v>0</v>
      </c>
      <c r="E38" s="3"/>
      <c r="F38" s="7"/>
      <c r="G38" s="20"/>
      <c r="H38" s="20"/>
      <c r="I38" s="3"/>
      <c r="J38" s="3"/>
    </row>
    <row r="39" spans="1:15">
      <c r="F39" s="7"/>
      <c r="G39" s="20"/>
      <c r="H39" s="20"/>
    </row>
    <row r="40" spans="1:15">
      <c r="F40" s="7"/>
      <c r="G40" s="20"/>
      <c r="H40" s="20"/>
    </row>
    <row r="41" spans="1:15">
      <c r="A41" s="1" t="s">
        <v>43</v>
      </c>
      <c r="B41" s="4"/>
      <c r="C41" s="4"/>
      <c r="D41" s="21"/>
      <c r="E41" s="4"/>
    </row>
    <row r="42" spans="1:15">
      <c r="A42" s="4" t="s">
        <v>44</v>
      </c>
      <c r="B42" s="5">
        <f t="shared" ref="B42:C43" si="1">B4+B7+B10+B13+B16+B19+B22+B25++B28+B31+B34+B37</f>
        <v>363038.32202239835</v>
      </c>
      <c r="C42" s="5">
        <f t="shared" si="1"/>
        <v>291699</v>
      </c>
      <c r="D42" s="16">
        <f>D4+D7+D10+D13+D16+D19+D22+D25++D28+D31+D34+D37</f>
        <v>-71339.32202239841</v>
      </c>
      <c r="E42" s="5">
        <f>C42-B42</f>
        <v>-71339.322022398352</v>
      </c>
      <c r="F42" s="3"/>
      <c r="G42" s="16"/>
      <c r="H42" s="16"/>
      <c r="I42" s="3"/>
      <c r="K42" s="42">
        <f>C42/B42</f>
        <v>0.80349368731933224</v>
      </c>
    </row>
    <row r="43" spans="1:15">
      <c r="A43" s="4" t="s">
        <v>45</v>
      </c>
      <c r="B43" s="5">
        <f t="shared" si="1"/>
        <v>125014.65862371249</v>
      </c>
      <c r="C43" s="5">
        <f>C5+C8+C11+C14+C17+C20+C23+C26++C29+C32+C35+C38</f>
        <v>181055</v>
      </c>
      <c r="D43" s="16">
        <f>D5+D8+D11+D14+D17+D20+D23+D26++D29+D32+D35+D38</f>
        <v>56040.341376287521</v>
      </c>
      <c r="E43" s="5">
        <f t="shared" ref="E43" si="2">E5+E8+E11+E14+E17+E20+E23+E26++E29+E32+E35+E38</f>
        <v>17730</v>
      </c>
      <c r="F43" s="5">
        <f>F5+F8+F11+F14+F17+F20+F23+F26++F29+F32+F35+F38</f>
        <v>14500</v>
      </c>
      <c r="G43" s="16"/>
      <c r="H43" s="16"/>
      <c r="K43" s="42">
        <f>C43/B43</f>
        <v>1.4482701628211934</v>
      </c>
    </row>
    <row r="45" spans="1:15">
      <c r="D45" s="35"/>
    </row>
    <row r="47" spans="1:15">
      <c r="C47" s="14"/>
      <c r="D47" s="35"/>
    </row>
    <row r="49" spans="1:3">
      <c r="C49" s="14"/>
    </row>
    <row r="50" spans="1:3">
      <c r="A50" s="29"/>
      <c r="B50" s="29"/>
      <c r="C50" s="30"/>
    </row>
    <row r="51" spans="1:3">
      <c r="A51" s="29"/>
      <c r="B51" s="29"/>
      <c r="C51" s="30"/>
    </row>
    <row r="52" spans="1:3">
      <c r="A52" s="29"/>
      <c r="B52" s="29"/>
      <c r="C52" s="30"/>
    </row>
    <row r="53" spans="1:3">
      <c r="C53" s="14"/>
    </row>
  </sheetData>
  <autoFilter ref="A1:A58" xr:uid="{00000000-0009-0000-0000-000002000000}"/>
  <mergeCells count="1">
    <mergeCell ref="I7:M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"/>
  <sheetViews>
    <sheetView workbookViewId="0">
      <selection activeCell="A2" sqref="A2"/>
    </sheetView>
  </sheetViews>
  <sheetFormatPr defaultRowHeight="15"/>
  <cols>
    <col min="1" max="1" width="16.5703125" customWidth="1"/>
    <col min="2" max="2" width="18.7109375" customWidth="1"/>
    <col min="3" max="3" width="24.5703125" customWidth="1"/>
    <col min="4" max="5" width="20.140625" customWidth="1"/>
    <col min="6" max="8" width="24.140625" customWidth="1"/>
    <col min="9" max="9" width="21.28515625" customWidth="1"/>
    <col min="10" max="10" width="17.140625" customWidth="1"/>
    <col min="11" max="11" width="19.42578125" customWidth="1"/>
    <col min="12" max="12" width="17.5703125" customWidth="1"/>
    <col min="13" max="13" width="15.42578125" customWidth="1"/>
    <col min="14" max="14" width="16.42578125" customWidth="1"/>
    <col min="15" max="15" width="13.42578125" customWidth="1"/>
  </cols>
  <sheetData>
    <row r="1" spans="1:15" ht="45">
      <c r="A1" s="4" t="s">
        <v>46</v>
      </c>
      <c r="B1" s="6" t="s">
        <v>47</v>
      </c>
      <c r="C1" s="6" t="s">
        <v>48</v>
      </c>
      <c r="D1" s="6" t="s">
        <v>49</v>
      </c>
      <c r="E1" s="6"/>
      <c r="F1" s="6" t="s">
        <v>50</v>
      </c>
      <c r="G1" s="6"/>
      <c r="H1" s="6"/>
      <c r="I1" s="6" t="s">
        <v>51</v>
      </c>
      <c r="J1" s="6" t="s">
        <v>52</v>
      </c>
      <c r="K1" s="26" t="s">
        <v>53</v>
      </c>
      <c r="L1" s="6" t="s">
        <v>54</v>
      </c>
      <c r="M1" s="6" t="s">
        <v>55</v>
      </c>
      <c r="N1" s="6" t="s">
        <v>56</v>
      </c>
      <c r="O1" s="6" t="s">
        <v>57</v>
      </c>
    </row>
    <row r="2" spans="1:15">
      <c r="A2" s="4" t="s">
        <v>12</v>
      </c>
      <c r="B2" s="24">
        <f>'[4]Расчет маржинального дохода2021'!$N$200+'[5]накопительно значения'!$D$12</f>
        <v>193352.56272589101</v>
      </c>
      <c r="C2" s="25">
        <v>125949</v>
      </c>
      <c r="D2" s="25">
        <v>5038</v>
      </c>
      <c r="E2" s="27">
        <f>D2/C2</f>
        <v>4.0000317588865332E-2</v>
      </c>
      <c r="F2" s="25">
        <v>2264</v>
      </c>
      <c r="G2" s="28">
        <f>B2-C2</f>
        <v>67403.56272589101</v>
      </c>
      <c r="H2" s="27">
        <f>F2/G2</f>
        <v>3.3588728969816808E-2</v>
      </c>
      <c r="I2" s="4">
        <f>D2+F2</f>
        <v>7302</v>
      </c>
      <c r="J2" s="5">
        <f>'план-факт'!C4</f>
        <v>16110</v>
      </c>
      <c r="K2" s="25">
        <v>9688</v>
      </c>
      <c r="L2" s="5">
        <f>-15+7505</f>
        <v>7490</v>
      </c>
      <c r="M2" s="4">
        <f>C2*6%-D2</f>
        <v>2518.9399999999996</v>
      </c>
      <c r="N2" s="4">
        <f>D2/0.04+F2/0.04-C2</f>
        <v>56601</v>
      </c>
      <c r="O2" s="5">
        <f>I2-J2-L2+1862+1206</f>
        <v>-13230</v>
      </c>
    </row>
    <row r="3" spans="1:15">
      <c r="A3" s="4" t="s">
        <v>18</v>
      </c>
      <c r="B3" s="24">
        <f>'[4]Расчет маржинального дохода2021'!$N$88+'[5]накопительно значения'!$D$8</f>
        <v>244888.01525155938</v>
      </c>
      <c r="C3" s="25">
        <v>107978</v>
      </c>
      <c r="D3" s="25">
        <v>5321</v>
      </c>
      <c r="E3" s="27">
        <f>D3/C3</f>
        <v>4.9278556743040249E-2</v>
      </c>
      <c r="F3" s="25">
        <v>1897</v>
      </c>
      <c r="G3" s="28">
        <f t="shared" ref="G3:G6" si="0">B3-C3</f>
        <v>136910.01525155938</v>
      </c>
      <c r="H3" s="27">
        <f t="shared" ref="H3:H6" si="1">F3/G3</f>
        <v>1.3855816146937384E-2</v>
      </c>
      <c r="I3" s="4">
        <f>D3+F3</f>
        <v>7218</v>
      </c>
      <c r="J3" s="5">
        <f>'план-факт'!C16</f>
        <v>38021</v>
      </c>
      <c r="K3" s="25">
        <v>21649</v>
      </c>
      <c r="L3" s="5">
        <v>0</v>
      </c>
      <c r="M3" s="4">
        <f t="shared" ref="M3:M6" si="2">C3*6%-D3</f>
        <v>1157.6799999999994</v>
      </c>
      <c r="N3" s="4">
        <f t="shared" ref="N3:N6" si="3">D3/0.04+F3/0.04-C3</f>
        <v>72472</v>
      </c>
      <c r="O3" s="5">
        <f>I3-J3-L3</f>
        <v>-30803</v>
      </c>
    </row>
    <row r="4" spans="1:15">
      <c r="A4" s="4" t="s">
        <v>21</v>
      </c>
      <c r="B4" s="24">
        <f>'[4]Расчет маржинального дохода2021'!$N$174+'[5]накопительно значения'!$D$14</f>
        <v>287639.65391669015</v>
      </c>
      <c r="C4" s="25">
        <v>227043</v>
      </c>
      <c r="D4" s="25">
        <v>17363</v>
      </c>
      <c r="E4" s="27">
        <f t="shared" ref="E4:E6" si="4">D4/C4</f>
        <v>7.6474500425029623E-2</v>
      </c>
      <c r="F4" s="25">
        <v>0</v>
      </c>
      <c r="G4" s="28">
        <f t="shared" si="0"/>
        <v>60596.653916690149</v>
      </c>
      <c r="H4" s="27">
        <f t="shared" si="1"/>
        <v>0</v>
      </c>
      <c r="I4" s="4">
        <f>D4+F4</f>
        <v>17363</v>
      </c>
      <c r="J4" s="5">
        <f>'план-факт'!C25</f>
        <v>37030</v>
      </c>
      <c r="K4" s="25">
        <v>11213</v>
      </c>
      <c r="L4" s="5">
        <v>346</v>
      </c>
      <c r="M4" s="4">
        <f t="shared" si="2"/>
        <v>-3740.42</v>
      </c>
      <c r="N4" s="4">
        <f t="shared" si="3"/>
        <v>207032</v>
      </c>
      <c r="O4" s="5">
        <f>I4-J4-L4+3437</f>
        <v>-16576</v>
      </c>
    </row>
    <row r="5" spans="1:15">
      <c r="A5" s="4" t="s">
        <v>58</v>
      </c>
      <c r="B5" s="24">
        <f>'[4]Расчет маржинального дохода2021'!$N$581+'[5]накопительно значения'!$D$20</f>
        <v>731382.45600000001</v>
      </c>
      <c r="C5" s="25">
        <v>188540</v>
      </c>
      <c r="D5" s="25">
        <v>9421</v>
      </c>
      <c r="E5" s="27">
        <f t="shared" si="4"/>
        <v>4.9968176514267527E-2</v>
      </c>
      <c r="F5" s="25">
        <v>6727</v>
      </c>
      <c r="G5" s="28">
        <f>B5-C5</f>
        <v>542842.45600000001</v>
      </c>
      <c r="H5" s="27">
        <f t="shared" si="1"/>
        <v>1.2392177372360867E-2</v>
      </c>
      <c r="I5" s="4">
        <f>D5+F5</f>
        <v>16148</v>
      </c>
      <c r="J5" s="5">
        <f>'план-факт'!C31</f>
        <v>47809</v>
      </c>
      <c r="K5" s="25">
        <v>0</v>
      </c>
      <c r="L5" s="5">
        <v>9606</v>
      </c>
      <c r="M5" s="4">
        <f t="shared" si="2"/>
        <v>1891.3999999999996</v>
      </c>
      <c r="N5" s="4">
        <f t="shared" si="3"/>
        <v>215160</v>
      </c>
      <c r="O5" s="5">
        <f t="shared" ref="O5:O6" si="5">I5-J5-L5</f>
        <v>-41267</v>
      </c>
    </row>
    <row r="6" spans="1:15">
      <c r="A6" s="4" t="s">
        <v>59</v>
      </c>
      <c r="B6" s="24">
        <f>'[4]Расчет маржинального дохода2021'!$N$594+'[5]накопительно значения'!$D$21</f>
        <v>844829.29265999992</v>
      </c>
      <c r="C6" s="25">
        <v>327354</v>
      </c>
      <c r="D6" s="25">
        <v>16240</v>
      </c>
      <c r="E6" s="27">
        <f t="shared" si="4"/>
        <v>4.9609902429785489E-2</v>
      </c>
      <c r="F6" s="25">
        <v>12898</v>
      </c>
      <c r="G6" s="28">
        <f t="shared" si="0"/>
        <v>517475.29265999992</v>
      </c>
      <c r="H6" s="27">
        <f t="shared" si="1"/>
        <v>2.4924861501502554E-2</v>
      </c>
      <c r="I6" s="4">
        <f>D6+F6</f>
        <v>29138</v>
      </c>
      <c r="J6" s="5">
        <f>'план-факт'!C34</f>
        <v>61158</v>
      </c>
      <c r="K6" s="25">
        <v>0</v>
      </c>
      <c r="L6" s="5">
        <v>11148</v>
      </c>
      <c r="M6" s="4">
        <f t="shared" si="2"/>
        <v>3401.239999999998</v>
      </c>
      <c r="N6" s="4">
        <f t="shared" si="3"/>
        <v>401096</v>
      </c>
      <c r="O6" s="5">
        <f t="shared" si="5"/>
        <v>-43168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"/>
  <sheetViews>
    <sheetView topLeftCell="B1" workbookViewId="0">
      <selection activeCell="E15" sqref="E15"/>
    </sheetView>
  </sheetViews>
  <sheetFormatPr defaultRowHeight="15"/>
  <cols>
    <col min="1" max="1" width="16.5703125" customWidth="1"/>
    <col min="2" max="2" width="18.7109375" customWidth="1"/>
    <col min="3" max="3" width="24.5703125" customWidth="1"/>
    <col min="4" max="5" width="20.140625" customWidth="1"/>
    <col min="6" max="8" width="24.140625" customWidth="1"/>
    <col min="9" max="9" width="21.28515625" customWidth="1"/>
    <col min="10" max="10" width="17.140625" customWidth="1"/>
    <col min="11" max="11" width="17.5703125" customWidth="1"/>
    <col min="12" max="12" width="15.42578125" hidden="1" customWidth="1"/>
    <col min="13" max="13" width="16.42578125" hidden="1" customWidth="1"/>
    <col min="14" max="14" width="13.42578125" hidden="1" customWidth="1"/>
    <col min="15" max="15" width="8.85546875" hidden="1" customWidth="1"/>
  </cols>
  <sheetData>
    <row r="1" spans="1:15" ht="45">
      <c r="A1" s="4" t="s">
        <v>46</v>
      </c>
      <c r="B1" s="6" t="s">
        <v>60</v>
      </c>
      <c r="C1" s="6" t="s">
        <v>61</v>
      </c>
      <c r="D1" s="6" t="s">
        <v>62</v>
      </c>
      <c r="E1" s="6"/>
      <c r="F1" s="6" t="s">
        <v>50</v>
      </c>
      <c r="G1" s="6"/>
      <c r="H1" s="6"/>
      <c r="I1" s="6" t="s">
        <v>51</v>
      </c>
      <c r="J1" s="6" t="s">
        <v>52</v>
      </c>
      <c r="K1" s="6" t="s">
        <v>54</v>
      </c>
      <c r="L1" s="6" t="s">
        <v>55</v>
      </c>
      <c r="M1" s="6" t="s">
        <v>56</v>
      </c>
      <c r="N1" s="6" t="s">
        <v>57</v>
      </c>
      <c r="O1" s="4"/>
    </row>
    <row r="2" spans="1:15">
      <c r="A2" s="4" t="s">
        <v>12</v>
      </c>
      <c r="B2" s="37">
        <f>'[4]Расчет маржинального дохода2021'!$N$200+[3]накопительно!$D$10</f>
        <v>212985.38612428552</v>
      </c>
      <c r="C2" s="36">
        <v>125949</v>
      </c>
      <c r="D2" s="38">
        <v>5980</v>
      </c>
      <c r="E2" s="27">
        <f>D2/C2</f>
        <v>4.7479535367490014E-2</v>
      </c>
      <c r="F2" s="38">
        <v>3763</v>
      </c>
      <c r="G2" s="28">
        <f>B2-C2</f>
        <v>87036.38612428552</v>
      </c>
      <c r="H2" s="27">
        <f>F2/G2</f>
        <v>4.3234791419608593E-2</v>
      </c>
      <c r="I2" s="4">
        <f t="shared" ref="I2:I10" si="0">D2+F2</f>
        <v>9743</v>
      </c>
      <c r="J2" s="5">
        <f>'план-факт'!C4</f>
        <v>16110</v>
      </c>
      <c r="K2" s="10">
        <v>4130</v>
      </c>
      <c r="L2" s="4">
        <f t="shared" ref="L2:L8" si="1">C2*6%-D2</f>
        <v>1576.9399999999996</v>
      </c>
      <c r="M2" s="4">
        <f t="shared" ref="M2:M8" si="2">D2/0.04+F2/0.04-C2</f>
        <v>117626</v>
      </c>
      <c r="N2" s="5">
        <f>I2-J2-K2+1862+1206</f>
        <v>-7429</v>
      </c>
      <c r="O2" s="39">
        <f t="shared" ref="O2:O10" si="3">I2/(B2)</f>
        <v>4.5744922585038622E-2</v>
      </c>
    </row>
    <row r="3" spans="1:15">
      <c r="A3" s="4" t="s">
        <v>18</v>
      </c>
      <c r="B3" s="37">
        <f>'[4]Расчет маржинального дохода2021'!$N$88+[3]накопительно!$D$7</f>
        <v>339856.88387448533</v>
      </c>
      <c r="C3" s="36">
        <f>107978+30512</f>
        <v>138490</v>
      </c>
      <c r="D3" s="38">
        <v>6307</v>
      </c>
      <c r="E3" s="27">
        <f>D3/C3</f>
        <v>4.5541194310058486E-2</v>
      </c>
      <c r="F3" s="38">
        <v>2851</v>
      </c>
      <c r="G3" s="28">
        <f t="shared" ref="G3:G10" si="4">B3-C3</f>
        <v>201366.88387448533</v>
      </c>
      <c r="H3" s="27">
        <f t="shared" ref="H3:H10" si="5">F3/G3</f>
        <v>1.4158236673002629E-2</v>
      </c>
      <c r="I3" s="4">
        <f t="shared" si="0"/>
        <v>9158</v>
      </c>
      <c r="J3" s="5">
        <f>'план-факт'!C16</f>
        <v>38021</v>
      </c>
      <c r="K3" s="10">
        <v>1168</v>
      </c>
      <c r="L3" s="4">
        <f t="shared" si="1"/>
        <v>2002.3999999999996</v>
      </c>
      <c r="M3" s="4">
        <f t="shared" si="2"/>
        <v>90460</v>
      </c>
      <c r="N3" s="5">
        <f>I3-J3-K3</f>
        <v>-30031</v>
      </c>
      <c r="O3" s="39">
        <f t="shared" si="3"/>
        <v>2.6946636759554936E-2</v>
      </c>
    </row>
    <row r="4" spans="1:15">
      <c r="A4" s="4" t="s">
        <v>21</v>
      </c>
      <c r="B4" s="37">
        <f>'[4]Расчет маржинального дохода2021'!$N$174+[3]накопительно!$D$12</f>
        <v>362834.13391669019</v>
      </c>
      <c r="C4" s="36">
        <f>227043+32834</f>
        <v>259877</v>
      </c>
      <c r="D4" s="38">
        <v>19004</v>
      </c>
      <c r="E4" s="27">
        <f t="shared" ref="E4:E10" si="6">D4/C4</f>
        <v>7.3126902342261921E-2</v>
      </c>
      <c r="F4" s="25">
        <v>0</v>
      </c>
      <c r="G4" s="28">
        <f t="shared" si="4"/>
        <v>102957.13391669019</v>
      </c>
      <c r="H4" s="27">
        <f t="shared" si="5"/>
        <v>0</v>
      </c>
      <c r="I4" s="4">
        <f t="shared" si="0"/>
        <v>19004</v>
      </c>
      <c r="J4" s="5">
        <f>'план-факт'!C25</f>
        <v>37030</v>
      </c>
      <c r="K4" s="10">
        <v>139</v>
      </c>
      <c r="L4" s="4">
        <f t="shared" si="1"/>
        <v>-3411.380000000001</v>
      </c>
      <c r="M4" s="4">
        <f t="shared" si="2"/>
        <v>215223</v>
      </c>
      <c r="N4" s="5">
        <f>I4-J4-K4+3437</f>
        <v>-14728</v>
      </c>
      <c r="O4" s="39">
        <f t="shared" si="3"/>
        <v>5.2376549567862543E-2</v>
      </c>
    </row>
    <row r="5" spans="1:15">
      <c r="A5" s="4" t="s">
        <v>58</v>
      </c>
      <c r="B5" s="37">
        <f>'[4]Расчет маржинального дохода2021'!$N$581+[3]накопительно!$D$17</f>
        <v>1012481.5880328945</v>
      </c>
      <c r="C5" s="36">
        <v>188540</v>
      </c>
      <c r="D5" s="38">
        <v>11668</v>
      </c>
      <c r="E5" s="27">
        <f t="shared" si="6"/>
        <v>6.1886071921077757E-2</v>
      </c>
      <c r="F5" s="38">
        <v>14735</v>
      </c>
      <c r="G5" s="28">
        <f t="shared" si="4"/>
        <v>823941.58803289453</v>
      </c>
      <c r="H5" s="27">
        <f t="shared" si="5"/>
        <v>1.7883549287976624E-2</v>
      </c>
      <c r="I5" s="4">
        <f t="shared" si="0"/>
        <v>26403</v>
      </c>
      <c r="J5" s="5">
        <f>'план-факт'!C31</f>
        <v>47809</v>
      </c>
      <c r="K5" s="10">
        <v>8297</v>
      </c>
      <c r="L5" s="4">
        <f t="shared" si="1"/>
        <v>-355.60000000000036</v>
      </c>
      <c r="M5" s="4">
        <f t="shared" si="2"/>
        <v>471535</v>
      </c>
      <c r="N5" s="5">
        <f>I5-J5-K5</f>
        <v>-29703</v>
      </c>
      <c r="O5" s="39">
        <f t="shared" si="3"/>
        <v>2.6077511247683243E-2</v>
      </c>
    </row>
    <row r="6" spans="1:15" ht="15.6" customHeight="1">
      <c r="A6" s="4" t="s">
        <v>59</v>
      </c>
      <c r="B6" s="37">
        <f>'[4]Расчет маржинального дохода2021'!$N$594+[3]накопительно!$D$18</f>
        <v>976399.45776828669</v>
      </c>
      <c r="C6" s="36">
        <v>327354</v>
      </c>
      <c r="D6" s="38">
        <v>18742</v>
      </c>
      <c r="E6" s="27">
        <f t="shared" si="6"/>
        <v>5.7253004392798013E-2</v>
      </c>
      <c r="F6" s="38">
        <v>18242</v>
      </c>
      <c r="G6" s="28">
        <f t="shared" si="4"/>
        <v>649045.45776828669</v>
      </c>
      <c r="H6" s="27">
        <f t="shared" si="5"/>
        <v>2.8105889628631388E-2</v>
      </c>
      <c r="I6" s="4">
        <f t="shared" si="0"/>
        <v>36984</v>
      </c>
      <c r="J6" s="5">
        <f>'план-факт'!C34</f>
        <v>61158</v>
      </c>
      <c r="K6" s="10">
        <v>5967</v>
      </c>
      <c r="L6" s="4">
        <f t="shared" si="1"/>
        <v>899.23999999999796</v>
      </c>
      <c r="M6" s="4">
        <f t="shared" si="2"/>
        <v>597246</v>
      </c>
      <c r="N6" s="5">
        <f>I6-J6-K6</f>
        <v>-30141</v>
      </c>
      <c r="O6" s="39">
        <f t="shared" si="3"/>
        <v>3.7877939920749962E-2</v>
      </c>
    </row>
    <row r="7" spans="1:15">
      <c r="A7" s="4" t="s">
        <v>17</v>
      </c>
      <c r="B7" s="37">
        <f>[3]накопительно!$D$6+'[4]Расчет маржинального дохода2021'!$N$75</f>
        <v>232678.16255330143</v>
      </c>
      <c r="C7" s="4">
        <v>113992</v>
      </c>
      <c r="D7" s="38">
        <v>5470</v>
      </c>
      <c r="E7" s="27">
        <f t="shared" si="6"/>
        <v>4.7985823566566076E-2</v>
      </c>
      <c r="F7" s="38">
        <v>4253</v>
      </c>
      <c r="G7" s="28">
        <f t="shared" si="4"/>
        <v>118686.16255330143</v>
      </c>
      <c r="H7" s="27">
        <f t="shared" si="5"/>
        <v>3.5834000430252318E-2</v>
      </c>
      <c r="I7" s="4">
        <f t="shared" si="0"/>
        <v>9723</v>
      </c>
      <c r="J7" s="4">
        <f>'план-факт'!C13</f>
        <v>17500</v>
      </c>
      <c r="K7" s="38">
        <v>1968</v>
      </c>
      <c r="L7" s="4">
        <f t="shared" si="1"/>
        <v>1369.5199999999995</v>
      </c>
      <c r="M7" s="4">
        <f t="shared" si="2"/>
        <v>129083</v>
      </c>
      <c r="N7" s="4"/>
      <c r="O7" s="39">
        <f t="shared" si="3"/>
        <v>4.1787333599785821E-2</v>
      </c>
    </row>
    <row r="8" spans="1:15">
      <c r="A8" s="4" t="s">
        <v>19</v>
      </c>
      <c r="B8" s="37">
        <f>'[4]Расчет маржинального дохода2021'!$N$101+[3]накопительно!$D$8</f>
        <v>291653.59611366742</v>
      </c>
      <c r="C8" s="4">
        <v>266156</v>
      </c>
      <c r="D8" s="38">
        <v>13307</v>
      </c>
      <c r="E8" s="27">
        <f t="shared" si="6"/>
        <v>4.9996994243977216E-2</v>
      </c>
      <c r="F8" s="38">
        <v>6524</v>
      </c>
      <c r="G8" s="28">
        <f t="shared" si="4"/>
        <v>25497.596113667416</v>
      </c>
      <c r="H8" s="27">
        <f>F8/G8</f>
        <v>0.25586725787467296</v>
      </c>
      <c r="I8" s="4">
        <f t="shared" si="0"/>
        <v>19831</v>
      </c>
      <c r="J8" s="4">
        <f>'план-факт'!C19</f>
        <v>26534</v>
      </c>
      <c r="K8" s="38">
        <v>716</v>
      </c>
      <c r="L8" s="4">
        <f t="shared" si="1"/>
        <v>2662.3599999999988</v>
      </c>
      <c r="M8" s="4">
        <f t="shared" si="2"/>
        <v>229619</v>
      </c>
      <c r="N8" s="4"/>
      <c r="O8" s="39">
        <f t="shared" si="3"/>
        <v>6.7995047084114052E-2</v>
      </c>
    </row>
    <row r="9" spans="1:15">
      <c r="A9" s="4" t="s">
        <v>22</v>
      </c>
      <c r="B9" s="37">
        <f>'[4]Расчет маржинального дохода2021'!$N$187+[3]накопительно!$D$11</f>
        <v>78905.672045762389</v>
      </c>
      <c r="C9" s="4">
        <v>59358</v>
      </c>
      <c r="D9" s="38">
        <v>1402</v>
      </c>
      <c r="E9" s="40">
        <f t="shared" si="6"/>
        <v>2.3619394184440177E-2</v>
      </c>
      <c r="F9" s="38">
        <v>1090</v>
      </c>
      <c r="G9" s="28">
        <f t="shared" si="4"/>
        <v>19547.672045762389</v>
      </c>
      <c r="H9" s="27">
        <f t="shared" si="5"/>
        <v>5.5761115566510332E-2</v>
      </c>
      <c r="I9" s="4">
        <f t="shared" si="0"/>
        <v>2492</v>
      </c>
      <c r="J9" s="4">
        <f>'план-факт'!C28</f>
        <v>9645</v>
      </c>
      <c r="K9" s="38">
        <v>176</v>
      </c>
      <c r="L9" s="4"/>
      <c r="M9" s="4"/>
      <c r="N9" s="4"/>
      <c r="O9" s="39">
        <f t="shared" si="3"/>
        <v>3.1582013502840858E-2</v>
      </c>
    </row>
    <row r="10" spans="1:15">
      <c r="A10" s="4" t="s">
        <v>15</v>
      </c>
      <c r="B10" s="37">
        <f>'[4]Расчет маржинального дохода2021'!$N$251+[3]накопительно!$D$15+[3]накопительно!$D$16</f>
        <v>550425.82867743517</v>
      </c>
      <c r="C10" s="4">
        <v>426326</v>
      </c>
      <c r="D10" s="38">
        <v>21295</v>
      </c>
      <c r="E10" s="27">
        <f t="shared" si="6"/>
        <v>4.9950038233652183E-2</v>
      </c>
      <c r="F10" s="38">
        <v>2964</v>
      </c>
      <c r="G10" s="4">
        <f t="shared" si="4"/>
        <v>124099.82867743517</v>
      </c>
      <c r="H10" s="4">
        <f t="shared" si="5"/>
        <v>2.3883997517064569E-2</v>
      </c>
      <c r="I10" s="4">
        <f t="shared" si="0"/>
        <v>24259</v>
      </c>
      <c r="J10" s="4">
        <f>'план-факт'!C7</f>
        <v>37892</v>
      </c>
      <c r="K10" s="38">
        <v>1587</v>
      </c>
      <c r="L10" s="4"/>
      <c r="M10" s="4"/>
      <c r="N10" s="4"/>
      <c r="O10" s="39">
        <f t="shared" si="3"/>
        <v>4.4073149798020197E-2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workbookViewId="0">
      <selection activeCell="D5" sqref="D5"/>
    </sheetView>
  </sheetViews>
  <sheetFormatPr defaultRowHeight="15"/>
  <cols>
    <col min="1" max="1" width="21.5703125" customWidth="1"/>
    <col min="2" max="2" width="15.28515625" customWidth="1"/>
    <col min="3" max="3" width="27.28515625" customWidth="1"/>
    <col min="4" max="4" width="24.5703125" customWidth="1"/>
    <col min="5" max="5" width="19.42578125" customWidth="1"/>
    <col min="6" max="6" width="16.28515625" customWidth="1"/>
  </cols>
  <sheetData>
    <row r="1" spans="1:6" ht="28.15" customHeight="1">
      <c r="A1" s="4"/>
      <c r="B1" s="6" t="s">
        <v>63</v>
      </c>
      <c r="C1" s="6" t="s">
        <v>64</v>
      </c>
      <c r="D1" s="4" t="s">
        <v>65</v>
      </c>
      <c r="E1" s="4" t="s">
        <v>43</v>
      </c>
      <c r="F1" s="4" t="s">
        <v>66</v>
      </c>
    </row>
    <row r="2" spans="1:6">
      <c r="A2" s="1" t="s">
        <v>12</v>
      </c>
      <c r="B2" s="10">
        <f>5039</f>
        <v>5039</v>
      </c>
      <c r="C2" s="5"/>
      <c r="D2" s="5">
        <f>'[6]Расчет маржинального дохода'!$F$213*4%</f>
        <v>785.31293593577902</v>
      </c>
      <c r="E2" s="5">
        <f>SUM(B2:D2)</f>
        <v>5824.312935935779</v>
      </c>
      <c r="F2" s="4">
        <v>5039</v>
      </c>
    </row>
    <row r="3" spans="1:6">
      <c r="A3" s="1" t="s">
        <v>15</v>
      </c>
      <c r="B3" s="5"/>
      <c r="C3" s="5"/>
      <c r="D3" s="5">
        <f>'[6]Расчет маржинального дохода'!$F$264*4%</f>
        <v>1454.4217203359003</v>
      </c>
      <c r="E3" s="5">
        <f t="shared" ref="E3:E9" si="0">SUM(B3:D3)</f>
        <v>1454.4217203359003</v>
      </c>
      <c r="F3" s="4">
        <v>2203</v>
      </c>
    </row>
    <row r="4" spans="1:6">
      <c r="A4" s="1" t="s">
        <v>17</v>
      </c>
      <c r="B4" s="5"/>
      <c r="C4" s="5"/>
      <c r="D4" s="17">
        <f>'[6]Расчет маржинального дохода'!$F$75*5%</f>
        <v>1847.8305694835633</v>
      </c>
      <c r="E4" s="5">
        <f t="shared" si="0"/>
        <v>1847.8305694835633</v>
      </c>
      <c r="F4" s="4">
        <v>222</v>
      </c>
    </row>
    <row r="5" spans="1:6">
      <c r="A5" s="1" t="s">
        <v>18</v>
      </c>
      <c r="B5" s="5"/>
      <c r="C5" s="17">
        <f>'план-факт'!C50</f>
        <v>0</v>
      </c>
      <c r="D5" s="17">
        <f>'[6]Расчет маржинального дохода'!$F$88*5%</f>
        <v>4748.4434311462983</v>
      </c>
      <c r="E5" s="5">
        <f t="shared" si="0"/>
        <v>4748.4434311462983</v>
      </c>
      <c r="F5" s="4">
        <v>1526</v>
      </c>
    </row>
    <row r="6" spans="1:6">
      <c r="A6" s="1" t="s">
        <v>19</v>
      </c>
      <c r="B6" s="5"/>
      <c r="C6" s="5"/>
      <c r="D6" s="5">
        <f>'[6]Расчет маржинального дохода'!$F$101*5%</f>
        <v>696.81658122996839</v>
      </c>
      <c r="E6" s="5">
        <f t="shared" si="0"/>
        <v>696.81658122996839</v>
      </c>
      <c r="F6" s="4">
        <f>132+2177</f>
        <v>2309</v>
      </c>
    </row>
    <row r="7" spans="1:6">
      <c r="A7" s="1" t="s">
        <v>21</v>
      </c>
      <c r="B7" s="5"/>
      <c r="C7" s="17">
        <f>'план-факт'!C51</f>
        <v>0</v>
      </c>
      <c r="D7" s="17">
        <f>'[6]Расчет маржинального дохода'!$F$187*4%</f>
        <v>3007.7791999999999</v>
      </c>
      <c r="E7" s="5">
        <f t="shared" si="0"/>
        <v>3007.7791999999999</v>
      </c>
      <c r="F7" s="4">
        <v>1849</v>
      </c>
    </row>
    <row r="8" spans="1:6">
      <c r="A8" s="1" t="s">
        <v>22</v>
      </c>
      <c r="B8" s="5"/>
      <c r="C8" s="5"/>
      <c r="D8" s="10">
        <f>'[6]Расчет маржинального дохода'!$F$200*4%</f>
        <v>190.94560372227244</v>
      </c>
      <c r="E8" s="5">
        <f t="shared" si="0"/>
        <v>190.94560372227244</v>
      </c>
      <c r="F8" s="4">
        <f>264+2970</f>
        <v>3234</v>
      </c>
    </row>
    <row r="9" spans="1:6">
      <c r="A9" s="1" t="s">
        <v>23</v>
      </c>
      <c r="B9" s="5">
        <f>'аналитика агентские (на 01.05)'!L5</f>
        <v>9606</v>
      </c>
      <c r="C9" s="5">
        <f>'аналитика агентские (на 01.05)'!G5*3.5%-'аналитика агентские (на 01.05)'!F5-2823/2</f>
        <v>10860.985960000002</v>
      </c>
      <c r="D9" s="5">
        <f>'[6]Расчет маржинального дохода'!$F$618*5%-[7]свод!$AW$6/1000*5%</f>
        <v>14054.95660164473</v>
      </c>
      <c r="E9" s="5">
        <f t="shared" si="0"/>
        <v>34521.942561644733</v>
      </c>
      <c r="F9" s="4">
        <v>11852</v>
      </c>
    </row>
    <row r="10" spans="1:6">
      <c r="A10" s="1" t="s">
        <v>24</v>
      </c>
      <c r="B10" s="5">
        <f>'аналитика агентские (на 01.05)'!L6</f>
        <v>11148</v>
      </c>
      <c r="C10" s="5">
        <f>'план-факт'!C52-C9</f>
        <v>-10860.985960000002</v>
      </c>
      <c r="D10" s="5">
        <f>'[6]Расчет маржинального дохода'!$F$631*5%-[7]свод!$AW$10/1000*5%</f>
        <v>6578.5082554143391</v>
      </c>
      <c r="E10" s="5">
        <f>SUM(B10:D10)</f>
        <v>6865.5222954143373</v>
      </c>
      <c r="F10" s="4">
        <f>12819+4601</f>
        <v>17420</v>
      </c>
    </row>
    <row r="11" spans="1:6">
      <c r="A11" s="31" t="s">
        <v>43</v>
      </c>
      <c r="B11" s="32">
        <f>SUM(B2:B10)</f>
        <v>25793</v>
      </c>
      <c r="C11" s="32">
        <f>SUM(C2:C10)</f>
        <v>0</v>
      </c>
      <c r="D11" s="32">
        <f>SUM(D2:D10)</f>
        <v>33365.01489891285</v>
      </c>
      <c r="E11" s="32">
        <f>SUM(E2:E10)</f>
        <v>59158.01489891285</v>
      </c>
      <c r="F11" s="32">
        <f>SUM(F2:F10)</f>
        <v>45654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"/>
  <sheetViews>
    <sheetView workbookViewId="0">
      <selection activeCell="C11" sqref="C11"/>
    </sheetView>
  </sheetViews>
  <sheetFormatPr defaultRowHeight="15"/>
  <cols>
    <col min="1" max="1" width="21.5703125" customWidth="1"/>
    <col min="2" max="2" width="15.28515625" customWidth="1"/>
    <col min="3" max="3" width="27.28515625" customWidth="1"/>
    <col min="4" max="4" width="24.5703125" customWidth="1"/>
    <col min="5" max="5" width="19.42578125" customWidth="1"/>
    <col min="6" max="6" width="16.28515625" hidden="1" customWidth="1"/>
    <col min="7" max="7" width="19.140625" customWidth="1"/>
    <col min="8" max="9" width="16.85546875" customWidth="1"/>
    <col min="10" max="10" width="12.85546875" customWidth="1"/>
  </cols>
  <sheetData>
    <row r="1" spans="1:11" ht="28.15" customHeight="1">
      <c r="A1" s="4"/>
      <c r="B1" s="6" t="s">
        <v>63</v>
      </c>
      <c r="C1" s="6" t="s">
        <v>64</v>
      </c>
      <c r="D1" s="4" t="s">
        <v>67</v>
      </c>
      <c r="E1" s="4" t="s">
        <v>43</v>
      </c>
      <c r="F1" s="4" t="s">
        <v>66</v>
      </c>
      <c r="G1" s="4" t="s">
        <v>68</v>
      </c>
      <c r="H1" s="4" t="s">
        <v>69</v>
      </c>
    </row>
    <row r="2" spans="1:11">
      <c r="A2" s="1" t="s">
        <v>12</v>
      </c>
      <c r="B2" s="16"/>
      <c r="C2" s="16"/>
      <c r="D2" s="16">
        <f>15884*5%</f>
        <v>794.2</v>
      </c>
      <c r="E2" s="5">
        <f>SUM(B2:D2)</f>
        <v>794.2</v>
      </c>
      <c r="F2" s="4"/>
      <c r="G2" s="4">
        <v>1033</v>
      </c>
      <c r="H2" s="5">
        <v>2059</v>
      </c>
      <c r="I2" s="3">
        <f>G2+H2</f>
        <v>3092</v>
      </c>
      <c r="J2" s="3">
        <f>H2-C2</f>
        <v>2059</v>
      </c>
      <c r="K2" s="3">
        <f>G2-D2</f>
        <v>238.79999999999995</v>
      </c>
    </row>
    <row r="3" spans="1:11">
      <c r="A3" s="1" t="s">
        <v>15</v>
      </c>
      <c r="B3" s="16"/>
      <c r="C3" s="16">
        <f>'[8]Перевыстав системно выст-опл'!$AE$46</f>
        <v>512.6</v>
      </c>
      <c r="D3" s="16">
        <f>6372*5%</f>
        <v>318.60000000000002</v>
      </c>
      <c r="E3" s="5">
        <f t="shared" ref="E3:E9" si="0">SUM(B3:D3)</f>
        <v>831.2</v>
      </c>
      <c r="F3" s="4"/>
      <c r="G3" s="4">
        <f>1693</f>
        <v>1693</v>
      </c>
      <c r="H3" s="5">
        <v>2360</v>
      </c>
      <c r="I3" s="3">
        <f t="shared" ref="I3:I10" si="1">G3+H3</f>
        <v>4053</v>
      </c>
      <c r="J3" s="3">
        <f t="shared" ref="J3:J10" si="2">H3-C3</f>
        <v>1847.4</v>
      </c>
      <c r="K3" s="3">
        <f t="shared" ref="K3:K10" si="3">G3-D3</f>
        <v>1374.4</v>
      </c>
    </row>
    <row r="4" spans="1:11">
      <c r="A4" s="1" t="s">
        <v>17</v>
      </c>
      <c r="B4" s="16"/>
      <c r="C4" s="16"/>
      <c r="D4" s="16"/>
      <c r="E4" s="5">
        <f t="shared" si="0"/>
        <v>0</v>
      </c>
      <c r="F4" s="4"/>
      <c r="G4" s="4"/>
      <c r="H4" s="5">
        <v>3743</v>
      </c>
      <c r="I4" s="3">
        <f t="shared" si="1"/>
        <v>3743</v>
      </c>
      <c r="J4" s="3">
        <f t="shared" si="2"/>
        <v>3743</v>
      </c>
      <c r="K4" s="3">
        <f t="shared" si="3"/>
        <v>0</v>
      </c>
    </row>
    <row r="5" spans="1:11">
      <c r="A5" s="1" t="s">
        <v>18</v>
      </c>
      <c r="B5" s="16"/>
      <c r="C5" s="16">
        <f>'[8]Перевыстав системно выст-опл'!$P$46</f>
        <v>431.25738000000001</v>
      </c>
      <c r="D5" s="16">
        <f>60012*5%</f>
        <v>3000.6000000000004</v>
      </c>
      <c r="E5" s="5">
        <f t="shared" si="0"/>
        <v>3431.8573800000004</v>
      </c>
      <c r="F5" s="4"/>
      <c r="G5" s="4">
        <v>3404</v>
      </c>
      <c r="H5" s="5">
        <v>5776</v>
      </c>
      <c r="I5" s="3">
        <f t="shared" si="1"/>
        <v>9180</v>
      </c>
      <c r="J5" s="3">
        <f t="shared" si="2"/>
        <v>5344.74262</v>
      </c>
      <c r="K5" s="3">
        <f t="shared" si="3"/>
        <v>403.39999999999964</v>
      </c>
    </row>
    <row r="6" spans="1:11">
      <c r="A6" s="1" t="s">
        <v>19</v>
      </c>
      <c r="B6" s="16"/>
      <c r="C6" s="16">
        <f>'[8]Перевыстав системно выст-опл'!$S$46</f>
        <v>4606.8838399999995</v>
      </c>
      <c r="D6" s="16"/>
      <c r="E6" s="5">
        <f t="shared" si="0"/>
        <v>4606.8838399999995</v>
      </c>
      <c r="F6" s="4"/>
      <c r="G6" s="4"/>
      <c r="H6" s="5">
        <v>3213</v>
      </c>
      <c r="I6" s="3">
        <f t="shared" si="1"/>
        <v>3213</v>
      </c>
      <c r="J6" s="3">
        <f t="shared" si="2"/>
        <v>-1393.8838399999995</v>
      </c>
      <c r="K6" s="3">
        <f t="shared" si="3"/>
        <v>0</v>
      </c>
    </row>
    <row r="7" spans="1:11">
      <c r="A7" s="1" t="s">
        <v>21</v>
      </c>
      <c r="B7" s="16"/>
      <c r="C7" s="16">
        <f>'[8]Перевыстав системно выст-опл'!$AB$46</f>
        <v>480</v>
      </c>
      <c r="D7" s="16">
        <f>32840*5%</f>
        <v>1642</v>
      </c>
      <c r="E7" s="5">
        <f t="shared" si="0"/>
        <v>2122</v>
      </c>
      <c r="F7" s="4"/>
      <c r="G7" s="4">
        <v>1933</v>
      </c>
      <c r="H7" s="5">
        <v>2005</v>
      </c>
      <c r="I7" s="3">
        <f t="shared" si="1"/>
        <v>3938</v>
      </c>
      <c r="J7" s="3">
        <f t="shared" si="2"/>
        <v>1525</v>
      </c>
      <c r="K7" s="3">
        <f t="shared" si="3"/>
        <v>291</v>
      </c>
    </row>
    <row r="8" spans="1:11">
      <c r="A8" s="1" t="s">
        <v>22</v>
      </c>
      <c r="B8" s="16"/>
      <c r="C8" s="16">
        <f>'[8]Перевыстав системно выст-опл'!$Y$46</f>
        <v>273.64999999999998</v>
      </c>
      <c r="D8" s="16"/>
      <c r="E8" s="5">
        <f t="shared" si="0"/>
        <v>273.64999999999998</v>
      </c>
      <c r="F8" s="4"/>
      <c r="G8" s="4"/>
      <c r="H8" s="5">
        <v>450</v>
      </c>
      <c r="I8" s="3">
        <f t="shared" si="1"/>
        <v>450</v>
      </c>
      <c r="J8" s="3">
        <f t="shared" si="2"/>
        <v>176.35000000000002</v>
      </c>
      <c r="K8" s="3">
        <f t="shared" si="3"/>
        <v>0</v>
      </c>
    </row>
    <row r="9" spans="1:11">
      <c r="A9" s="1" t="s">
        <v>23</v>
      </c>
      <c r="B9" s="16"/>
      <c r="C9" s="16">
        <f>'[8]Перевыстав системно выст-опл'!$AH$46</f>
        <v>7218.4803599999996</v>
      </c>
      <c r="D9" s="16">
        <f>11061*5%</f>
        <v>553.05000000000007</v>
      </c>
      <c r="E9" s="5">
        <f t="shared" si="0"/>
        <v>7771.5303599999997</v>
      </c>
      <c r="F9" s="4"/>
      <c r="G9" s="4">
        <v>597</v>
      </c>
      <c r="H9" s="5">
        <v>18264</v>
      </c>
      <c r="I9" s="3">
        <f t="shared" si="1"/>
        <v>18861</v>
      </c>
      <c r="J9" s="3">
        <f t="shared" si="2"/>
        <v>11045.51964</v>
      </c>
      <c r="K9" s="3">
        <f t="shared" si="3"/>
        <v>43.949999999999932</v>
      </c>
    </row>
    <row r="10" spans="1:11">
      <c r="A10" s="1" t="s">
        <v>24</v>
      </c>
      <c r="B10" s="16"/>
      <c r="C10" s="16">
        <f>'[8]Перевыстав системно выст-опл'!$AK$46</f>
        <v>5292.2334699999992</v>
      </c>
      <c r="D10" s="16">
        <f>40129*5%</f>
        <v>2006.45</v>
      </c>
      <c r="E10" s="5">
        <f>SUM(B10:D10)</f>
        <v>7298.683469999999</v>
      </c>
      <c r="F10" s="4"/>
      <c r="G10" s="4">
        <f>2094+764</f>
        <v>2858</v>
      </c>
      <c r="H10" s="5">
        <f>8267+4993</f>
        <v>13260</v>
      </c>
      <c r="I10" s="3">
        <f t="shared" si="1"/>
        <v>16118</v>
      </c>
      <c r="J10" s="3">
        <f t="shared" si="2"/>
        <v>7967.7665300000008</v>
      </c>
      <c r="K10" s="3">
        <f t="shared" si="3"/>
        <v>851.55</v>
      </c>
    </row>
    <row r="11" spans="1:11">
      <c r="A11" s="1" t="s">
        <v>70</v>
      </c>
      <c r="B11" s="16"/>
      <c r="C11" s="16"/>
      <c r="D11" s="16">
        <v>32000</v>
      </c>
      <c r="E11" s="5">
        <f>SUM(B11:D11)</f>
        <v>32000</v>
      </c>
      <c r="F11" s="4"/>
      <c r="G11" s="4"/>
      <c r="H11" s="5"/>
      <c r="I11" s="3"/>
    </row>
    <row r="12" spans="1:11">
      <c r="A12" s="31" t="s">
        <v>43</v>
      </c>
      <c r="B12" s="32">
        <f>SUM(B2:B10)</f>
        <v>0</v>
      </c>
      <c r="C12" s="32">
        <f>SUM(C2:C10)</f>
        <v>18815.105049999998</v>
      </c>
      <c r="D12" s="32">
        <f>SUM(D2:D10)</f>
        <v>8314.9000000000015</v>
      </c>
      <c r="E12" s="32">
        <f>SUM(E2:E10)+E11</f>
        <v>59130.00505</v>
      </c>
      <c r="F12" s="32">
        <f>SUM(F2:F10)</f>
        <v>0</v>
      </c>
      <c r="G12" s="4"/>
      <c r="H12" s="32"/>
      <c r="I12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"/>
  <sheetViews>
    <sheetView workbookViewId="0">
      <selection activeCell="E18" sqref="E18"/>
    </sheetView>
  </sheetViews>
  <sheetFormatPr defaultRowHeight="15"/>
  <cols>
    <col min="1" max="1" width="21.5703125" customWidth="1"/>
    <col min="2" max="2" width="19.42578125" customWidth="1"/>
    <col min="3" max="3" width="17.5703125" customWidth="1"/>
    <col min="4" max="4" width="24.5703125" customWidth="1"/>
    <col min="5" max="5" width="19.42578125" customWidth="1"/>
    <col min="6" max="6" width="26.42578125" customWidth="1"/>
    <col min="7" max="7" width="22.42578125" customWidth="1"/>
    <col min="8" max="9" width="16.85546875" customWidth="1"/>
    <col min="10" max="10" width="12.85546875" customWidth="1"/>
  </cols>
  <sheetData>
    <row r="1" spans="1:11" ht="48" customHeight="1">
      <c r="A1" s="4"/>
      <c r="B1" s="6" t="s">
        <v>63</v>
      </c>
      <c r="C1" s="6" t="s">
        <v>64</v>
      </c>
      <c r="D1" s="4" t="s">
        <v>71</v>
      </c>
      <c r="E1" s="4" t="s">
        <v>43</v>
      </c>
      <c r="F1" s="4" t="s">
        <v>66</v>
      </c>
      <c r="G1" s="4" t="s">
        <v>68</v>
      </c>
      <c r="H1" s="4" t="s">
        <v>69</v>
      </c>
    </row>
    <row r="2" spans="1:11">
      <c r="A2" s="1" t="s">
        <v>12</v>
      </c>
      <c r="B2" s="16"/>
      <c r="C2" s="16"/>
      <c r="D2" s="45">
        <f>7557*5%</f>
        <v>377.85</v>
      </c>
      <c r="E2" s="5">
        <f>SUM(B2:D2)</f>
        <v>377.85</v>
      </c>
      <c r="F2" s="4"/>
      <c r="G2" s="38">
        <v>378</v>
      </c>
      <c r="H2" s="10">
        <v>434</v>
      </c>
      <c r="I2" s="3">
        <f>G2+H2</f>
        <v>812</v>
      </c>
      <c r="J2" s="3">
        <f>H2-C2</f>
        <v>434</v>
      </c>
      <c r="K2" s="3">
        <f>G2-D2</f>
        <v>0.14999999999997726</v>
      </c>
    </row>
    <row r="3" spans="1:11">
      <c r="A3" s="1" t="s">
        <v>15</v>
      </c>
      <c r="B3" s="16"/>
      <c r="C3" s="16"/>
      <c r="D3" s="45">
        <f>46216*5%</f>
        <v>2310.8000000000002</v>
      </c>
      <c r="E3" s="5">
        <f t="shared" ref="E3:E9" si="0">SUM(B3:D3)</f>
        <v>2310.8000000000002</v>
      </c>
      <c r="F3" s="4"/>
      <c r="G3" s="38">
        <v>2311</v>
      </c>
      <c r="H3" s="10">
        <f>973+187</f>
        <v>1160</v>
      </c>
      <c r="I3" s="3">
        <f t="shared" ref="I3:I10" si="1">G3+H3</f>
        <v>3471</v>
      </c>
      <c r="J3" s="3">
        <f t="shared" ref="J3:J10" si="2">H3-C3</f>
        <v>1160</v>
      </c>
      <c r="K3" s="3">
        <f>G3-D3</f>
        <v>0.1999999999998181</v>
      </c>
    </row>
    <row r="4" spans="1:11">
      <c r="A4" s="1" t="s">
        <v>17</v>
      </c>
      <c r="B4" s="16"/>
      <c r="C4" s="16"/>
      <c r="D4" s="43"/>
      <c r="E4" s="5">
        <f t="shared" si="0"/>
        <v>0</v>
      </c>
      <c r="F4" s="4"/>
      <c r="G4" s="38"/>
      <c r="H4" s="10">
        <v>271</v>
      </c>
      <c r="I4" s="3">
        <f t="shared" si="1"/>
        <v>271</v>
      </c>
      <c r="J4" s="3">
        <f t="shared" si="2"/>
        <v>271</v>
      </c>
      <c r="K4" s="3">
        <f t="shared" ref="K4:K10" si="3">G4-D4</f>
        <v>0</v>
      </c>
    </row>
    <row r="5" spans="1:11">
      <c r="A5" s="1" t="s">
        <v>18</v>
      </c>
      <c r="B5" s="16"/>
      <c r="C5" s="16"/>
      <c r="D5" s="45">
        <f>23098*5%</f>
        <v>1154.9000000000001</v>
      </c>
      <c r="E5" s="5">
        <f>SUM(B5:D5)</f>
        <v>1154.9000000000001</v>
      </c>
      <c r="F5" s="4"/>
      <c r="G5" s="38">
        <v>1155</v>
      </c>
      <c r="H5" s="10">
        <v>7834</v>
      </c>
      <c r="I5" s="3">
        <f>G5+H5</f>
        <v>8989</v>
      </c>
      <c r="J5" s="3">
        <f t="shared" si="2"/>
        <v>7834</v>
      </c>
      <c r="K5" s="3">
        <f t="shared" si="3"/>
        <v>9.9999999999909051E-2</v>
      </c>
    </row>
    <row r="6" spans="1:11">
      <c r="A6" s="1" t="s">
        <v>19</v>
      </c>
      <c r="B6" s="16"/>
      <c r="C6" s="16"/>
      <c r="D6" s="45">
        <f>10980*5%</f>
        <v>549</v>
      </c>
      <c r="E6" s="5">
        <f>SUM(B6:D6)</f>
        <v>549</v>
      </c>
      <c r="F6" s="4"/>
      <c r="G6" s="38">
        <v>549</v>
      </c>
      <c r="H6" s="10">
        <v>466</v>
      </c>
      <c r="I6" s="3">
        <f t="shared" si="1"/>
        <v>1015</v>
      </c>
      <c r="J6" s="3">
        <f t="shared" si="2"/>
        <v>466</v>
      </c>
      <c r="K6" s="3">
        <f t="shared" si="3"/>
        <v>0</v>
      </c>
    </row>
    <row r="7" spans="1:11">
      <c r="A7" s="1" t="s">
        <v>21</v>
      </c>
      <c r="B7" s="16"/>
      <c r="C7" s="16"/>
      <c r="D7" s="45">
        <f>44156*5%</f>
        <v>2207.8000000000002</v>
      </c>
      <c r="E7" s="5">
        <f t="shared" si="0"/>
        <v>2207.8000000000002</v>
      </c>
      <c r="F7" s="4"/>
      <c r="G7" s="38">
        <v>2208</v>
      </c>
      <c r="H7" s="10">
        <v>4401</v>
      </c>
      <c r="I7" s="3">
        <f>G7+H7</f>
        <v>6609</v>
      </c>
      <c r="J7" s="3">
        <f t="shared" si="2"/>
        <v>4401</v>
      </c>
      <c r="K7" s="3">
        <f t="shared" si="3"/>
        <v>0.1999999999998181</v>
      </c>
    </row>
    <row r="8" spans="1:11">
      <c r="A8" s="1" t="s">
        <v>22</v>
      </c>
      <c r="B8" s="16"/>
      <c r="C8" s="16"/>
      <c r="D8" s="45">
        <f>15232*5%</f>
        <v>761.6</v>
      </c>
      <c r="E8" s="5">
        <f t="shared" si="0"/>
        <v>761.6</v>
      </c>
      <c r="F8" s="4"/>
      <c r="G8" s="38">
        <v>762</v>
      </c>
      <c r="H8" s="10">
        <v>259</v>
      </c>
      <c r="I8" s="3">
        <f t="shared" si="1"/>
        <v>1021</v>
      </c>
      <c r="J8" s="3">
        <f t="shared" si="2"/>
        <v>259</v>
      </c>
      <c r="K8" s="3">
        <f t="shared" si="3"/>
        <v>0.39999999999997726</v>
      </c>
    </row>
    <row r="9" spans="1:11">
      <c r="A9" s="1" t="s">
        <v>23</v>
      </c>
      <c r="B9" s="16"/>
      <c r="C9" s="16"/>
      <c r="D9" s="45">
        <f>16197*5%+22000*5%</f>
        <v>1909.85</v>
      </c>
      <c r="E9" s="5">
        <f>SUM(B9:D9)</f>
        <v>1909.85</v>
      </c>
      <c r="F9" s="4"/>
      <c r="G9" s="38">
        <v>1910</v>
      </c>
      <c r="H9" s="46">
        <v>1955</v>
      </c>
      <c r="I9" s="3">
        <f t="shared" si="1"/>
        <v>3865</v>
      </c>
      <c r="J9" s="3">
        <f t="shared" si="2"/>
        <v>1955</v>
      </c>
      <c r="K9" s="3">
        <f t="shared" si="3"/>
        <v>0.15000000000009095</v>
      </c>
    </row>
    <row r="10" spans="1:11">
      <c r="A10" s="1" t="s">
        <v>24</v>
      </c>
      <c r="B10" s="16"/>
      <c r="C10" s="16"/>
      <c r="D10" s="45">
        <f>51187*5%+3958*5%</f>
        <v>2757.2500000000005</v>
      </c>
      <c r="E10" s="5">
        <f>SUM(B10:D10)</f>
        <v>2757.2500000000005</v>
      </c>
      <c r="F10" s="4"/>
      <c r="G10" s="38">
        <v>2757</v>
      </c>
      <c r="H10" s="46">
        <v>3943</v>
      </c>
      <c r="I10" s="3">
        <f>G10+H10</f>
        <v>6700</v>
      </c>
      <c r="J10" s="3">
        <f>H10-C10</f>
        <v>3943</v>
      </c>
      <c r="K10" s="3">
        <f t="shared" si="3"/>
        <v>-0.25000000000045475</v>
      </c>
    </row>
    <row r="11" spans="1:11">
      <c r="A11" s="1" t="s">
        <v>70</v>
      </c>
      <c r="B11" s="16"/>
      <c r="C11" s="16"/>
      <c r="D11" s="45">
        <f>27583-249</f>
        <v>27334</v>
      </c>
      <c r="E11" s="5">
        <f>SUM(B11:D11)</f>
        <v>27334</v>
      </c>
      <c r="F11" s="4"/>
      <c r="G11" s="4"/>
      <c r="H11" s="5"/>
      <c r="I11" s="3"/>
    </row>
    <row r="12" spans="1:11">
      <c r="A12" s="31" t="s">
        <v>43</v>
      </c>
      <c r="B12" s="32">
        <f>SUM(B2:B10)</f>
        <v>0</v>
      </c>
      <c r="C12" s="32">
        <f>SUM(C2:C10)</f>
        <v>0</v>
      </c>
      <c r="D12" s="32">
        <f>SUM(D2:D10)</f>
        <v>12029.050000000001</v>
      </c>
      <c r="E12" s="32">
        <f>SUM(E2:E10)+E11</f>
        <v>39363.050000000003</v>
      </c>
      <c r="F12" s="32">
        <f>SUM(F2:F10)</f>
        <v>0</v>
      </c>
      <c r="G12" s="4"/>
      <c r="H12" s="32"/>
      <c r="I12" s="11"/>
    </row>
    <row r="15" spans="1:11">
      <c r="G15" t="s">
        <v>72</v>
      </c>
      <c r="H15" s="3">
        <f>-E11</f>
        <v>-27334</v>
      </c>
    </row>
    <row r="16" spans="1:11">
      <c r="H16" s="3">
        <f>SUM(H2:H15)</f>
        <v>-6611</v>
      </c>
    </row>
    <row r="17" spans="7:8">
      <c r="G17" t="s">
        <v>73</v>
      </c>
      <c r="H17">
        <v>1072</v>
      </c>
    </row>
    <row r="18" spans="7:8">
      <c r="G18" t="s">
        <v>74</v>
      </c>
      <c r="H18" s="9">
        <f>H16+H17</f>
        <v>-5539</v>
      </c>
    </row>
    <row r="19" spans="7:8">
      <c r="H19" t="s">
        <v>38</v>
      </c>
    </row>
    <row r="20" spans="7:8">
      <c r="G20" t="s">
        <v>75</v>
      </c>
      <c r="H20">
        <v>5431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85363D70420E419D00523D5A104FB1" ma:contentTypeVersion="17" ma:contentTypeDescription="Create a new document." ma:contentTypeScope="" ma:versionID="9fef37a653bf5e4687737421fbcc633a">
  <xsd:schema xmlns:xsd="http://www.w3.org/2001/XMLSchema" xmlns:xs="http://www.w3.org/2001/XMLSchema" xmlns:p="http://schemas.microsoft.com/office/2006/metadata/properties" xmlns:ns2="2978a173-3f13-413e-801e-1f2587c07d99" xmlns:ns3="2cd68766-865a-412c-a5fd-72092cd46604" targetNamespace="http://schemas.microsoft.com/office/2006/metadata/properties" ma:root="true" ma:fieldsID="6785f82c5d67ac264bf47d54ad6cbb6e" ns2:_="" ns3:_="">
    <xsd:import namespace="2978a173-3f13-413e-801e-1f2587c07d99"/>
    <xsd:import namespace="2cd68766-865a-412c-a5fd-72092cd466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Own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8a173-3f13-413e-801e-1f2587c07d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d50f071-db19-4729-b8d5-6c82fbe87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wner" ma:index="23" nillable="true" ma:displayName="Owner" ma:description="Владелец документа, ответственный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68766-865a-412c-a5fd-72092cd4660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49c1fc5-aa16-4592-a821-6739c94de246}" ma:internalName="TaxCatchAll" ma:showField="CatchAllData" ma:web="2cd68766-865a-412c-a5fd-72092cd466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d68766-865a-412c-a5fd-72092cd46604" xsi:nil="true"/>
    <lcf76f155ced4ddcb4097134ff3c332f xmlns="2978a173-3f13-413e-801e-1f2587c07d99">
      <Terms xmlns="http://schemas.microsoft.com/office/infopath/2007/PartnerControls"/>
    </lcf76f155ced4ddcb4097134ff3c332f>
    <Owner xmlns="2978a173-3f13-413e-801e-1f2587c07d99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3EA6231-074B-4C32-9D98-518FB42BF531}"/>
</file>

<file path=customXml/itemProps2.xml><?xml version="1.0" encoding="utf-8"?>
<ds:datastoreItem xmlns:ds="http://schemas.openxmlformats.org/officeDocument/2006/customXml" ds:itemID="{92C3D606-8C02-4EB3-B9F2-8D6A75DCBC4D}"/>
</file>

<file path=customXml/itemProps3.xml><?xml version="1.0" encoding="utf-8"?>
<ds:datastoreItem xmlns:ds="http://schemas.openxmlformats.org/officeDocument/2006/customXml" ds:itemID="{E5FD369C-A61A-49C6-9D97-19B1CA7B91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Викулаев Павел Сергеевич</dc:creator>
  <cp:keywords/>
  <dc:description/>
  <cp:lastModifiedBy/>
  <cp:revision/>
  <dcterms:created xsi:type="dcterms:W3CDTF">2015-06-05T18:17:20Z</dcterms:created>
  <dcterms:modified xsi:type="dcterms:W3CDTF">2024-02-27T08:25:43Z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0x010100E985363D70420E419D00523D5A104FB1</vt:lpwstr>
  </property>
  <property fmtid="{D5CDD505-2E9C-101B-9397-08002B2CF9AE}" pid="3" name="MediaServiceImageTags">
    <vt:lpwstr/>
  </property>
</Properties>
</file>